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UCON\GECON2\Contabilidade\Fechamentos Semestrais\062020\Publicação\"/>
    </mc:Choice>
  </mc:AlternateContent>
  <xr:revisionPtr revIDLastSave="0" documentId="13_ncr:1_{C9934FDB-EB5A-4671-AFE4-9DA603667991}" xr6:coauthVersionLast="45" xr6:coauthVersionMax="45" xr10:uidLastSave="{00000000-0000-0000-0000-000000000000}"/>
  <bookViews>
    <workbookView xWindow="-110" yWindow="-110" windowWidth="19420" windowHeight="10420" xr2:uid="{BC37FD76-1515-4A26-812D-4193B1DC6930}"/>
  </bookViews>
  <sheets>
    <sheet name="Balanço" sheetId="4" r:id="rId1"/>
    <sheet name="DRE" sheetId="3" r:id="rId2"/>
    <sheet name="DRA" sheetId="11" r:id="rId3"/>
    <sheet name="DMPL" sheetId="9" r:id="rId4"/>
    <sheet name="DFC" sheetId="10" r:id="rId5"/>
    <sheet name="Planilha5" sheetId="5" state="hidden" r:id="rId6"/>
    <sheet name="Planilha6" sheetId="6" state="hidden" r:id="rId7"/>
    <sheet name="Planilha7" sheetId="7" state="hidden" r:id="rId8"/>
    <sheet name="Planilha8" sheetId="8" state="hidden" r:id="rId9"/>
  </sheets>
  <definedNames>
    <definedName name="_xlnm.Print_Area" localSheetId="0">Balanço!$A$1:$H$24</definedName>
    <definedName name="_xlnm.Print_Area" localSheetId="4">DFC!$A$1:$D$48</definedName>
    <definedName name="_xlnm.Print_Area" localSheetId="2">DRA!$A$1:$C$10</definedName>
    <definedName name="_xlnm.Print_Area" localSheetId="1">DRE!$A$1:$D$39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3" l="1"/>
  <c r="C20" i="3"/>
  <c r="C7" i="11" l="1"/>
  <c r="C9" i="11" s="1"/>
  <c r="B7" i="11"/>
  <c r="B9" i="11" s="1"/>
  <c r="D9" i="4"/>
  <c r="C19" i="10" s="1"/>
  <c r="D8" i="4"/>
  <c r="C10" i="4"/>
  <c r="C7" i="4"/>
  <c r="D7" i="4" l="1"/>
  <c r="D21" i="10" l="1"/>
  <c r="C10" i="10" l="1"/>
  <c r="D47" i="10"/>
  <c r="D40" i="10"/>
  <c r="D34" i="10"/>
  <c r="C8" i="10"/>
  <c r="D17" i="10"/>
  <c r="D8" i="10" l="1"/>
  <c r="C47" i="10"/>
  <c r="C40" i="10"/>
  <c r="C34" i="10"/>
  <c r="K18" i="10"/>
  <c r="J18" i="10"/>
  <c r="K17" i="10"/>
  <c r="J17" i="10"/>
  <c r="D29" i="9"/>
  <c r="D31" i="9" s="1"/>
  <c r="C29" i="9"/>
  <c r="B29" i="9"/>
  <c r="F27" i="9"/>
  <c r="E26" i="9"/>
  <c r="F21" i="9"/>
  <c r="H18" i="4" s="1"/>
  <c r="D17" i="9"/>
  <c r="D19" i="9" s="1"/>
  <c r="C17" i="9"/>
  <c r="C19" i="9" s="1"/>
  <c r="B17" i="9"/>
  <c r="B19" i="9" s="1"/>
  <c r="F15" i="9"/>
  <c r="E14" i="9"/>
  <c r="F9" i="9"/>
  <c r="F7" i="9"/>
  <c r="B31" i="9" l="1"/>
  <c r="G19" i="4"/>
  <c r="C31" i="9"/>
  <c r="G20" i="4"/>
  <c r="K20" i="10"/>
  <c r="J20" i="10"/>
  <c r="F14" i="9"/>
  <c r="F26" i="9"/>
  <c r="G8" i="4"/>
  <c r="C8" i="3"/>
  <c r="G18" i="4" l="1"/>
  <c r="D6" i="4"/>
  <c r="D34" i="3"/>
  <c r="D32" i="3"/>
  <c r="D28" i="3"/>
  <c r="D19" i="3"/>
  <c r="D18" i="3"/>
  <c r="D17" i="3"/>
  <c r="D16" i="3"/>
  <c r="D15" i="3"/>
  <c r="D10" i="3"/>
  <c r="D9" i="3"/>
  <c r="D7" i="3"/>
  <c r="D6" i="3"/>
  <c r="H20" i="4"/>
  <c r="G6" i="4"/>
  <c r="D21" i="4" l="1"/>
  <c r="D20" i="4"/>
  <c r="D18" i="4"/>
  <c r="D17" i="4"/>
  <c r="C14" i="4"/>
  <c r="D22" i="3"/>
  <c r="C22" i="3"/>
  <c r="D14" i="3"/>
  <c r="C14" i="3"/>
  <c r="D8" i="3"/>
  <c r="D5" i="3"/>
  <c r="C5" i="3"/>
  <c r="C12" i="3" s="1"/>
  <c r="G23" i="4"/>
  <c r="C19" i="4"/>
  <c r="G64" i="8"/>
  <c r="F60" i="8"/>
  <c r="E60" i="8"/>
  <c r="F52" i="8"/>
  <c r="E52" i="8"/>
  <c r="E44" i="8"/>
  <c r="F41" i="8"/>
  <c r="F44" i="8" s="1"/>
  <c r="F34" i="8"/>
  <c r="F33" i="8"/>
  <c r="E33" i="8"/>
  <c r="F32" i="8"/>
  <c r="E32" i="8"/>
  <c r="F31" i="8"/>
  <c r="E31" i="8"/>
  <c r="F30" i="8"/>
  <c r="E30" i="8"/>
  <c r="N29" i="8"/>
  <c r="M29" i="8"/>
  <c r="F29" i="8"/>
  <c r="E29" i="8"/>
  <c r="N28" i="8"/>
  <c r="N30" i="8" s="1"/>
  <c r="M28" i="8"/>
  <c r="F28" i="8"/>
  <c r="F27" i="8" s="1"/>
  <c r="E28" i="8"/>
  <c r="E27" i="8" s="1"/>
  <c r="F21" i="8"/>
  <c r="E21" i="8"/>
  <c r="F19" i="8"/>
  <c r="F18" i="8" s="1"/>
  <c r="E19" i="8"/>
  <c r="E18" i="8" s="1"/>
  <c r="F16" i="8"/>
  <c r="E16" i="8"/>
  <c r="F57" i="7"/>
  <c r="J55" i="7"/>
  <c r="J57" i="7" s="1"/>
  <c r="H55" i="7"/>
  <c r="H57" i="7" s="1"/>
  <c r="F55" i="7"/>
  <c r="C55" i="7"/>
  <c r="C57" i="7" s="1"/>
  <c r="L53" i="7"/>
  <c r="L52" i="7"/>
  <c r="J52" i="7"/>
  <c r="L49" i="7"/>
  <c r="L47" i="7"/>
  <c r="L55" i="7" s="1"/>
  <c r="L57" i="7" s="1"/>
  <c r="H43" i="7"/>
  <c r="H45" i="7" s="1"/>
  <c r="F43" i="7"/>
  <c r="F45" i="7" s="1"/>
  <c r="C43" i="7"/>
  <c r="C45" i="7" s="1"/>
  <c r="L41" i="7"/>
  <c r="J40" i="7"/>
  <c r="L40" i="7" s="1"/>
  <c r="L37" i="7"/>
  <c r="L35" i="7"/>
  <c r="L33" i="7"/>
  <c r="C31" i="7"/>
  <c r="H29" i="7"/>
  <c r="H31" i="7" s="1"/>
  <c r="F29" i="7"/>
  <c r="F31" i="7" s="1"/>
  <c r="C29" i="7"/>
  <c r="L27" i="7"/>
  <c r="J26" i="7"/>
  <c r="J29" i="7" s="1"/>
  <c r="J31" i="7" s="1"/>
  <c r="L23" i="7"/>
  <c r="L21" i="7"/>
  <c r="L19" i="7"/>
  <c r="L17" i="7"/>
  <c r="L15" i="7"/>
  <c r="E61" i="5"/>
  <c r="E56" i="5"/>
  <c r="E54" i="5" s="1"/>
  <c r="K55" i="5"/>
  <c r="E49" i="5"/>
  <c r="K45" i="5"/>
  <c r="E44" i="5"/>
  <c r="K40" i="5"/>
  <c r="K37" i="5" s="1"/>
  <c r="E40" i="5"/>
  <c r="E33" i="5"/>
  <c r="D15" i="4" s="1"/>
  <c r="C22" i="10" s="1"/>
  <c r="E31" i="5"/>
  <c r="D12" i="4" s="1"/>
  <c r="K30" i="5"/>
  <c r="E30" i="5"/>
  <c r="D16" i="4" s="1"/>
  <c r="C21" i="10" s="1"/>
  <c r="K29" i="5"/>
  <c r="K28" i="5"/>
  <c r="E28" i="5"/>
  <c r="D13" i="4" s="1"/>
  <c r="C20" i="10" s="1"/>
  <c r="E25" i="5"/>
  <c r="D11" i="4" s="1"/>
  <c r="D10" i="4" s="1"/>
  <c r="E24" i="5"/>
  <c r="K23" i="5"/>
  <c r="E23" i="5"/>
  <c r="K22" i="5"/>
  <c r="K20" i="5" s="1"/>
  <c r="H7" i="4" s="1"/>
  <c r="C24" i="10" s="1"/>
  <c r="K21" i="5"/>
  <c r="K16" i="5"/>
  <c r="H8" i="4" s="1"/>
  <c r="C23" i="4" l="1"/>
  <c r="C26" i="3"/>
  <c r="C30" i="3" s="1"/>
  <c r="M30" i="8"/>
  <c r="K54" i="5"/>
  <c r="H19" i="4"/>
  <c r="E37" i="5"/>
  <c r="H10" i="4"/>
  <c r="H6" i="4"/>
  <c r="C17" i="10"/>
  <c r="D19" i="4"/>
  <c r="D12" i="3"/>
  <c r="D26" i="3" s="1"/>
  <c r="D30" i="3" s="1"/>
  <c r="D14" i="4"/>
  <c r="E27" i="5"/>
  <c r="K25" i="5"/>
  <c r="K14" i="5" s="1"/>
  <c r="K65" i="5" s="1"/>
  <c r="E22" i="5"/>
  <c r="E20" i="5"/>
  <c r="E25" i="8"/>
  <c r="E37" i="8" s="1"/>
  <c r="E54" i="8" s="1"/>
  <c r="E64" i="8" s="1"/>
  <c r="F25" i="8"/>
  <c r="F37" i="8" s="1"/>
  <c r="F54" i="8" s="1"/>
  <c r="F64" i="8" s="1"/>
  <c r="L43" i="7"/>
  <c r="L45" i="7" s="1"/>
  <c r="L26" i="7"/>
  <c r="L29" i="7" s="1"/>
  <c r="L31" i="7" s="1"/>
  <c r="J43" i="7"/>
  <c r="J45" i="7" s="1"/>
  <c r="D23" i="4" l="1"/>
  <c r="D36" i="3"/>
  <c r="E11" i="9" s="1"/>
  <c r="D6" i="10"/>
  <c r="D15" i="10" s="1"/>
  <c r="D28" i="10" s="1"/>
  <c r="D42" i="10" s="1"/>
  <c r="C36" i="3"/>
  <c r="C6" i="10"/>
  <c r="C15" i="10" s="1"/>
  <c r="C28" i="10" s="1"/>
  <c r="C42" i="10" s="1"/>
  <c r="D38" i="3"/>
  <c r="H23" i="4"/>
  <c r="E19" i="5"/>
  <c r="E14" i="5"/>
  <c r="E65" i="5" s="1"/>
  <c r="F11" i="9" l="1"/>
  <c r="F17" i="9" s="1"/>
  <c r="F19" i="9" s="1"/>
  <c r="E17" i="9"/>
  <c r="E19" i="9" s="1"/>
  <c r="C38" i="3"/>
  <c r="E23" i="9"/>
  <c r="F23" i="9" l="1"/>
  <c r="F29" i="9" s="1"/>
  <c r="F31" i="9" s="1"/>
  <c r="E29" i="9"/>
  <c r="E31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Alessandra Rodrigues</author>
  </authors>
  <commentList>
    <comment ref="B4" authorId="0" shapeId="0" xr:uid="{4701A5B3-B928-45B8-B91A-E9658468053B}">
      <text>
        <r>
          <rPr>
            <b/>
            <sz val="9"/>
            <color indexed="81"/>
            <rFont val="Segoe UI"/>
            <family val="2"/>
          </rPr>
          <t>Alessandra Rodrigues:</t>
        </r>
        <r>
          <rPr>
            <sz val="9"/>
            <color indexed="81"/>
            <rFont val="Segoe UI"/>
            <family val="2"/>
          </rPr>
          <t xml:space="preserve">
Fazer referência a nota explicativa</t>
        </r>
      </text>
    </comment>
    <comment ref="F4" authorId="0" shapeId="0" xr:uid="{3FB72C25-A875-43C2-94D1-DE372CA78881}">
      <text>
        <r>
          <rPr>
            <b/>
            <sz val="9"/>
            <color indexed="81"/>
            <rFont val="Segoe UI"/>
            <family val="2"/>
          </rPr>
          <t>Alessandra Rodrigues:</t>
        </r>
        <r>
          <rPr>
            <sz val="9"/>
            <color indexed="81"/>
            <rFont val="Segoe UI"/>
            <family val="2"/>
          </rPr>
          <t xml:space="preserve">
Fazer referência a nota explicativa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Alessandra Rodrigues</author>
  </authors>
  <commentList>
    <comment ref="B4" authorId="0" shapeId="0" xr:uid="{E19BA5F2-8BF5-436F-B054-6C4929D041C3}">
      <text>
        <r>
          <rPr>
            <b/>
            <sz val="9"/>
            <color indexed="81"/>
            <rFont val="Segoe UI"/>
            <family val="2"/>
          </rPr>
          <t>Alessandra Rodrigues:</t>
        </r>
        <r>
          <rPr>
            <sz val="9"/>
            <color indexed="81"/>
            <rFont val="Segoe UI"/>
            <family val="2"/>
          </rPr>
          <t xml:space="preserve">
Fazer referência a nota</t>
        </r>
      </text>
    </comment>
  </commentList>
</comments>
</file>

<file path=xl/sharedStrings.xml><?xml version="1.0" encoding="utf-8"?>
<sst xmlns="http://schemas.openxmlformats.org/spreadsheetml/2006/main" count="363" uniqueCount="257">
  <si>
    <t>INSTRUMENTOS FINANCEIROS</t>
  </si>
  <si>
    <t>CRÉDITOS TRIBUTÁRIOS</t>
  </si>
  <si>
    <t>IMOBILIZADO DE USO</t>
  </si>
  <si>
    <t>INTANGÍVEL</t>
  </si>
  <si>
    <t>Imobilizado de uso</t>
  </si>
  <si>
    <t>Intangível</t>
  </si>
  <si>
    <t>OUTROS ATIVOS</t>
  </si>
  <si>
    <t>PASSIVO</t>
  </si>
  <si>
    <t>DEPÓSITOS E DEMAIS INSTRUMENTOS FINANCEIROS</t>
  </si>
  <si>
    <t>PROVISÕES</t>
  </si>
  <si>
    <t>OUTROS PASSIVOS</t>
  </si>
  <si>
    <t>TOTAL DO PASSIVO</t>
  </si>
  <si>
    <t>PATRIMÔNIO LÍQUIDO</t>
  </si>
  <si>
    <t>Capital social</t>
  </si>
  <si>
    <t>Reservas de lucros</t>
  </si>
  <si>
    <t>RECEITAS DA INTERMEDIAÇÃO FINANCEIRA</t>
  </si>
  <si>
    <t>DESPESAS DA INTERMEDIAÇÃO FINANCEIRA</t>
  </si>
  <si>
    <t>RESULTADO BRUTO DA INTERMEDIAÇÃO FINANCEIRA</t>
  </si>
  <si>
    <t>RESULTADO OPERACIONAL</t>
  </si>
  <si>
    <t>ATIVO</t>
  </si>
  <si>
    <t>NOTA</t>
  </si>
  <si>
    <t>31.12.2019</t>
  </si>
  <si>
    <t>CAIXA E EQUIVALENTES DE CAIXA</t>
  </si>
  <si>
    <t xml:space="preserve">  Títulos e Valores Mobiliários</t>
  </si>
  <si>
    <t xml:space="preserve">  Operações de Crédito</t>
  </si>
  <si>
    <t>-</t>
  </si>
  <si>
    <t xml:space="preserve">  Outros Créditos</t>
  </si>
  <si>
    <t xml:space="preserve">  Outros Valores e Bens</t>
  </si>
  <si>
    <t>DEPRECIAÇÃO E AMORTIZAÇÃO</t>
  </si>
  <si>
    <t xml:space="preserve">  Imobilizado </t>
  </si>
  <si>
    <t xml:space="preserve">  Intangível</t>
  </si>
  <si>
    <t>PROVISÃO PARA REDUÇÃO AO VALOR RECUPERÁVEL DE ATIVOS</t>
  </si>
  <si>
    <t xml:space="preserve">TOTAL DO ATIVO </t>
  </si>
  <si>
    <t xml:space="preserve">  Outros Passivos Financeiros</t>
  </si>
  <si>
    <t xml:space="preserve">  Capital</t>
  </si>
  <si>
    <t xml:space="preserve">  Reservas de lucros</t>
  </si>
  <si>
    <t>Desenvolve SP - Agência de Fomento do Estado de São Paulo S.A.</t>
  </si>
  <si>
    <t>Balanços patrimoniais</t>
  </si>
  <si>
    <t>Em 31 de dezembro de 2019 e 2018</t>
  </si>
  <si>
    <t>(Em milhares de Reais)</t>
  </si>
  <si>
    <t>Ativo</t>
  </si>
  <si>
    <t>Nota</t>
  </si>
  <si>
    <t>Passivo</t>
  </si>
  <si>
    <t>Circulante</t>
  </si>
  <si>
    <t xml:space="preserve">Circulante </t>
  </si>
  <si>
    <t>Disponibilidades</t>
  </si>
  <si>
    <t>Depósitos</t>
  </si>
  <si>
    <t xml:space="preserve">Depósitos vinculados </t>
  </si>
  <si>
    <t xml:space="preserve">Títulos e valores mobiliários e </t>
  </si>
  <si>
    <t>instrumentos financeiros derivativos</t>
  </si>
  <si>
    <t xml:space="preserve">Obrigações por repasses do País </t>
  </si>
  <si>
    <t>Carteira própria</t>
  </si>
  <si>
    <t>Instituições oficiais</t>
  </si>
  <si>
    <t>BNDES</t>
  </si>
  <si>
    <t>Operações de crédito</t>
  </si>
  <si>
    <t>FINAME</t>
  </si>
  <si>
    <t>Setor público</t>
  </si>
  <si>
    <t>Outras Instituições Oficiais</t>
  </si>
  <si>
    <t>Setor privado</t>
  </si>
  <si>
    <t>(Provisão para operações de crédito)</t>
  </si>
  <si>
    <t>Outras obrigações</t>
  </si>
  <si>
    <t>Cobrança e arrecadação de tributos</t>
  </si>
  <si>
    <t xml:space="preserve">Outros créditos </t>
  </si>
  <si>
    <t>Obrigações sociais e estatutárias</t>
  </si>
  <si>
    <t>Créditos tributários</t>
  </si>
  <si>
    <t>Obrigações fiscais e previdenciárias</t>
  </si>
  <si>
    <t>Rendas a receber</t>
  </si>
  <si>
    <t>Recursos para destinação específica</t>
  </si>
  <si>
    <t>Diversos</t>
  </si>
  <si>
    <t>(Provisão para outros créditos)</t>
  </si>
  <si>
    <t>Outros valores e bens</t>
  </si>
  <si>
    <t>Bens não de uso próprio</t>
  </si>
  <si>
    <t>Despesas antecipadas</t>
  </si>
  <si>
    <t>Não circulante</t>
  </si>
  <si>
    <t xml:space="preserve">Não circulante </t>
  </si>
  <si>
    <t>Obrigações por repasses do País</t>
  </si>
  <si>
    <t xml:space="preserve">  instrumentos financ. derivativos</t>
  </si>
  <si>
    <t>(Provisões para desvalorizações)</t>
  </si>
  <si>
    <t>FINEP</t>
  </si>
  <si>
    <t xml:space="preserve">Operações de crédito </t>
  </si>
  <si>
    <t>Permanente</t>
  </si>
  <si>
    <t>Patrimônio líquido</t>
  </si>
  <si>
    <t>Ações ordinárias - País</t>
  </si>
  <si>
    <t>Imóveis de uso</t>
  </si>
  <si>
    <t>Outras imobilizações de uso</t>
  </si>
  <si>
    <t>(Depreciações acumuladas)</t>
  </si>
  <si>
    <t>Outros ativos intangíveis</t>
  </si>
  <si>
    <t>(Amortização acumulada)</t>
  </si>
  <si>
    <t xml:space="preserve">   Total do ativo</t>
  </si>
  <si>
    <t>Total do passivo</t>
  </si>
  <si>
    <t>As notas explicativas são parte integrante das demonstrações contábeis.</t>
  </si>
  <si>
    <t>Demonstrações de resultados</t>
  </si>
  <si>
    <t>Exercícios findos em 31 de dezembro de 2019 e 2018 e semestre findo em 31 de dezembro de 2019</t>
  </si>
  <si>
    <t>2º semestre</t>
  </si>
  <si>
    <t>de 2019</t>
  </si>
  <si>
    <t>Receitas da intermediação financeira</t>
  </si>
  <si>
    <t>Resultado de operações com títulos e valores mobiliários</t>
  </si>
  <si>
    <t>Despesas da intermediação financeira</t>
  </si>
  <si>
    <t>Operações de empréstimos e repasses</t>
  </si>
  <si>
    <t>Provisão para operações de crédito</t>
  </si>
  <si>
    <t>Resultado bruto da intermediação financeira</t>
  </si>
  <si>
    <t>Outras receitas/despesas operacionais</t>
  </si>
  <si>
    <t>Rendas de tarifas bancárias</t>
  </si>
  <si>
    <t>Despesas de pessoal</t>
  </si>
  <si>
    <t>Outras despesas administrativas</t>
  </si>
  <si>
    <t>Despesas tributárias</t>
  </si>
  <si>
    <t>Outras receitas operacionais</t>
  </si>
  <si>
    <t>Outras despesas operacionais</t>
  </si>
  <si>
    <t xml:space="preserve">Resultado operacional </t>
  </si>
  <si>
    <t xml:space="preserve">Resultado não operacional </t>
  </si>
  <si>
    <t xml:space="preserve">Resultado antes da tributação sobre o lucro e participações </t>
  </si>
  <si>
    <t xml:space="preserve">Imposto de renda e contribuição social </t>
  </si>
  <si>
    <t>Provisão para imposto de renda</t>
  </si>
  <si>
    <t>Provisão para contribuição social</t>
  </si>
  <si>
    <t>Ativo fiscal diferido</t>
  </si>
  <si>
    <t xml:space="preserve">Participações estatutárias no lucro </t>
  </si>
  <si>
    <t>Lucro líquido</t>
  </si>
  <si>
    <t>Lucro por ação (R$)</t>
  </si>
  <si>
    <t>Demonstrações das mutações do patrimônio líquido</t>
  </si>
  <si>
    <t xml:space="preserve">Capital </t>
  </si>
  <si>
    <t xml:space="preserve">Legal        </t>
  </si>
  <si>
    <t xml:space="preserve">Especial </t>
  </si>
  <si>
    <t xml:space="preserve">Lucros </t>
  </si>
  <si>
    <t>realizado</t>
  </si>
  <si>
    <t>de lucro</t>
  </si>
  <si>
    <t>acumulados</t>
  </si>
  <si>
    <t>Total</t>
  </si>
  <si>
    <t>Saldos em 01/01/2018</t>
  </si>
  <si>
    <t>Aumento de Capital</t>
  </si>
  <si>
    <t>Juros sobre o capital próprio</t>
  </si>
  <si>
    <t>Dividendos do exercício anterior</t>
  </si>
  <si>
    <t>Lucro líquido do exercício</t>
  </si>
  <si>
    <t>Destinações:</t>
  </si>
  <si>
    <t>Reservas</t>
  </si>
  <si>
    <t>Saldos em 31/12/2018</t>
  </si>
  <si>
    <t>Mutações do período</t>
  </si>
  <si>
    <t>Saldos em 01/01/2019</t>
  </si>
  <si>
    <t>Saldos em 31/12/2019</t>
  </si>
  <si>
    <t>Saldos em 01/07/2019</t>
  </si>
  <si>
    <t>Lucro líquido do semestre</t>
  </si>
  <si>
    <t xml:space="preserve">Demonstrações dos fluxos de caixa - Método indireto </t>
  </si>
  <si>
    <t>Fluxo de caixa das atividades operacionais</t>
  </si>
  <si>
    <t>Lucro antes do imposto de renda, contribuição social e  participações</t>
  </si>
  <si>
    <t>Ajustes ao lucro antes dos impostos e participações</t>
  </si>
  <si>
    <t>Provisão para créditos de liquidação duvidosa</t>
  </si>
  <si>
    <t>Depreciação e amortização</t>
  </si>
  <si>
    <t>Provisão para desvalorização de títulos livres</t>
  </si>
  <si>
    <t>Provisão para desvalorização de outros valores e bens</t>
  </si>
  <si>
    <t xml:space="preserve">Provisão para passivos contingentes </t>
  </si>
  <si>
    <t>Lucro ajustado antes dos impostos e participações</t>
  </si>
  <si>
    <t xml:space="preserve">Variação ativo/passivo </t>
  </si>
  <si>
    <t>Exercício</t>
  </si>
  <si>
    <t>2º sem</t>
  </si>
  <si>
    <t>(Aumento)/redução em TVM</t>
  </si>
  <si>
    <t>(Aumento)/redução operações de crédito</t>
  </si>
  <si>
    <t>(Aumento)/redução outros créditos</t>
  </si>
  <si>
    <t>(Aumento)/redução outros valores e bens</t>
  </si>
  <si>
    <t>Aumento/(redução) depósitos</t>
  </si>
  <si>
    <t>Aumento/(redução) obrigações por empréstimos e repasses</t>
  </si>
  <si>
    <t>Aumento/(redução) outras obrigações</t>
  </si>
  <si>
    <t>Imposto de renda e contribuição social pagos</t>
  </si>
  <si>
    <t>Caixa líquido aplicado nas atividades operacionais</t>
  </si>
  <si>
    <t>Fluxo de caixa das atividades de investimentos</t>
  </si>
  <si>
    <t>Aquisição de imobilizado de uso</t>
  </si>
  <si>
    <t>Aplicações no intangível</t>
  </si>
  <si>
    <t>Baixa de Imobilizado</t>
  </si>
  <si>
    <t>Caixa líquido das atividades de investimentos</t>
  </si>
  <si>
    <t>Fluxo de caixa das atividades de financiamentos</t>
  </si>
  <si>
    <t>Dividendos pagos de exercício anterior</t>
  </si>
  <si>
    <t>Juros sobre o capital próprio pagos exercício anterior</t>
  </si>
  <si>
    <t>Juros sobre o capital próprio pagos</t>
  </si>
  <si>
    <t>Caixa líquido das atividades de financiamentos</t>
  </si>
  <si>
    <t>Aumento/(redução) líquida de caixa e equivalentes de caixa</t>
  </si>
  <si>
    <t>Modificação na posição de caixa e equivalentes de caixa</t>
  </si>
  <si>
    <t>Caixa e equivalentes de caixa no início do semestre e exercício</t>
  </si>
  <si>
    <t>Caixa e equivalentes de caixa no final do semestre e exercício</t>
  </si>
  <si>
    <t>30.06.2020</t>
  </si>
  <si>
    <t xml:space="preserve">   Operações de crédito</t>
  </si>
  <si>
    <t>Resultado de aplicações interfinanceiras, títulos e valores mobiliários e câmbio</t>
  </si>
  <si>
    <t xml:space="preserve">   Operações de empréstimos, cessões e repasses</t>
  </si>
  <si>
    <t xml:space="preserve">   Provisões para créditos de liquidação duvidosa </t>
  </si>
  <si>
    <t>OUTRAS RECEITAS OPERACIONAIS E PRINCIPAIS DESPESAS OPERACIONAIS</t>
  </si>
  <si>
    <t xml:space="preserve">   Receitas de prestação de serviços e tarifas bancárias</t>
  </si>
  <si>
    <t xml:space="preserve">   Despesas de pessoal </t>
  </si>
  <si>
    <t xml:space="preserve">   Outras despesas administrativas </t>
  </si>
  <si>
    <t xml:space="preserve">   Despesas tributárias</t>
  </si>
  <si>
    <t xml:space="preserve">   Outras receitas operacionais </t>
  </si>
  <si>
    <t xml:space="preserve">   Outras despesas operacionais </t>
  </si>
  <si>
    <t>DESPESAS DE PROVISÕES</t>
  </si>
  <si>
    <t xml:space="preserve">   Trabalhista</t>
  </si>
  <si>
    <t xml:space="preserve">   Outras</t>
  </si>
  <si>
    <t xml:space="preserve">RESULTADO NÃO OPERACIONAL </t>
  </si>
  <si>
    <t>RESULTADO ANTES DA TRIBUTAÇÃO S/ LUCRO E PARTICIPAÇÕES</t>
  </si>
  <si>
    <t>IMPOSTO DE RENDA E CONTRIBUIÇÃO SOCIAL</t>
  </si>
  <si>
    <t>PARTICIPAÇÃO NO LUCRO</t>
  </si>
  <si>
    <t>RESULTADO LÍQUIDO</t>
  </si>
  <si>
    <t xml:space="preserve">   N.º DE AÇÕES</t>
  </si>
  <si>
    <t>RESULTADO LÍQUIDO POR AÇÃO</t>
  </si>
  <si>
    <t>30.06.2019</t>
  </si>
  <si>
    <t xml:space="preserve">  Recursos de Repasse</t>
  </si>
  <si>
    <t>Em 30 de junho de 2019 e 2018</t>
  </si>
  <si>
    <t>1º semestre</t>
  </si>
  <si>
    <t>Receitas de Prestação de Serviços</t>
  </si>
  <si>
    <t>Juros sobre capital próprio</t>
  </si>
  <si>
    <t>Capital realizado</t>
  </si>
  <si>
    <t>Especial de lucro</t>
  </si>
  <si>
    <t>Lucros acumulados</t>
  </si>
  <si>
    <t>Saldos em 30/06/2019</t>
  </si>
  <si>
    <t>Saldos em 30/06/2020</t>
  </si>
  <si>
    <t xml:space="preserve">  Juros sobre o capital próprio</t>
  </si>
  <si>
    <t xml:space="preserve">  Reservas</t>
  </si>
  <si>
    <t xml:space="preserve">  Provisão para créditos de liquidação duvidosa</t>
  </si>
  <si>
    <t xml:space="preserve">  Depreciação e amortização</t>
  </si>
  <si>
    <t xml:space="preserve">  Provisão para desvalorização de títulos livres</t>
  </si>
  <si>
    <t xml:space="preserve">  Constituição de perdas por impairment de ativos</t>
  </si>
  <si>
    <t xml:space="preserve">  Provisão para passivos contingentes </t>
  </si>
  <si>
    <t xml:space="preserve">  (Aumento)/redução em TVM</t>
  </si>
  <si>
    <t xml:space="preserve">  (Aumento)/redução operações de crédito</t>
  </si>
  <si>
    <t xml:space="preserve">  (Aumento)/redução créditos tributários</t>
  </si>
  <si>
    <t xml:space="preserve">  (Aumento)/redução outros créditos</t>
  </si>
  <si>
    <t xml:space="preserve">  (Aumento)/redução outros valores e bens</t>
  </si>
  <si>
    <t xml:space="preserve">  Aumento/(redução) depósitos</t>
  </si>
  <si>
    <t xml:space="preserve">  Aumento/(redução) obrigações por empréstimos e repasses</t>
  </si>
  <si>
    <t xml:space="preserve">  Aumento/(redução) outras obrigações</t>
  </si>
  <si>
    <t xml:space="preserve">  Imposto de renda e contribuição social pagos</t>
  </si>
  <si>
    <t xml:space="preserve">  Aquisição de imobilizado de uso</t>
  </si>
  <si>
    <t xml:space="preserve">  Aplicações no intangível</t>
  </si>
  <si>
    <t xml:space="preserve">  Juros sobre o capital próprio pagos exercício anterior</t>
  </si>
  <si>
    <t xml:space="preserve">  Juros sobre o capital próprio pagos</t>
  </si>
  <si>
    <t xml:space="preserve">  Caixa e equivalentes de caixa no início do semestre</t>
  </si>
  <si>
    <t xml:space="preserve">  Caixa e equivalentes de caixa no final do semestre</t>
  </si>
  <si>
    <t>6b</t>
  </si>
  <si>
    <t>6a</t>
  </si>
  <si>
    <t>12b</t>
  </si>
  <si>
    <t>Balanço Patrimonial</t>
  </si>
  <si>
    <t>Caixa líquido proveniente das (aplicado nas) atividades operacionais</t>
  </si>
  <si>
    <t>Caixa líquido aplicado nas atividades de investimentos</t>
  </si>
  <si>
    <t>Caixa líquido aplicado nas atividades de financiamentos</t>
  </si>
  <si>
    <t>6a e 6e</t>
  </si>
  <si>
    <t>PROVISÃO PARA PERDA ESPERADA ASSOCIADA AO RISCO DE CRÉDITO</t>
  </si>
  <si>
    <t>7a e 8a</t>
  </si>
  <si>
    <t>7a</t>
  </si>
  <si>
    <t>7b</t>
  </si>
  <si>
    <t>8a</t>
  </si>
  <si>
    <t>8b</t>
  </si>
  <si>
    <t>9a</t>
  </si>
  <si>
    <t>9b</t>
  </si>
  <si>
    <t>12a</t>
  </si>
  <si>
    <t>12c</t>
  </si>
  <si>
    <t>12d</t>
  </si>
  <si>
    <t>Lucro Líquido do Período</t>
  </si>
  <si>
    <t>Outros Resultados abrangentes</t>
  </si>
  <si>
    <t>Resultado Abrangente do período</t>
  </si>
  <si>
    <t>13b</t>
  </si>
  <si>
    <t>Demonstrações dos resultados</t>
  </si>
  <si>
    <t>Demonstrações dos resultados abrangente</t>
  </si>
  <si>
    <t>Demonstrações dos fluxos de caixa - Método indireto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</si>
</sst>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R$&quot;\ #,##0;\-&quot;R$&quot;\ #,##0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#,##0.0"/>
    <numFmt numFmtId="167" formatCode="_(* #,##0_);_(* \(#,##0\);_(* &quot;-&quot;_);_(@_)"/>
    <numFmt numFmtId="168" formatCode="#&quot;.&quot;#&quot;.&quot;#&quot;.&quot;##&quot;.&quot;##&quot;.&quot;#"/>
    <numFmt numFmtId="169" formatCode="_-&quot;R$&quot;\ * #,##0_-;\-&quot;R$&quot;\ * #,##0_-;_-&quot;R$&quot;\ * &quot;-&quot;??_-;_-@_-"/>
    <numFmt numFmtId="170" formatCode="_(* #,##0.00000_);_(* \(#,##0.00000\);_(* &quot;-&quot;_);_(@_)"/>
    <numFmt numFmtId="171" formatCode="0_);\(0\)"/>
    <numFmt numFmtId="172" formatCode="_(&quot;R$ &quot;* #,##0.00_);_(&quot;R$ &quot;* \(#,##0.00\);_(&quot;R$ &quot;* &quot;-&quot;??_);_(@_)"/>
    <numFmt numFmtId="173" formatCode="mmmm\ d\,\ \y\y\y\y"/>
    <numFmt numFmtId="174" formatCode="_([$€]* #,##0.00_);_([$€]* \(#,##0.00\);_([$€]* &quot;-&quot;??_);_(@_)"/>
    <numFmt numFmtId="175" formatCode="_(* #,##0_);_(* \(#,##0\);_(* &quot;-&quot;??_);_(@_)"/>
    <numFmt numFmtId="176" formatCode="#,##0.0000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name val="Frutiger 45 Light"/>
      <family val="2"/>
    </font>
    <font>
      <sz val="10"/>
      <color theme="1"/>
      <name val="Times New Roman"/>
      <family val="1"/>
    </font>
    <font>
      <b/>
      <sz val="7"/>
      <color rgb="FFFFFFFF"/>
      <name val="Verdana"/>
      <family val="2"/>
    </font>
    <font>
      <b/>
      <sz val="7"/>
      <color rgb="FF000000"/>
      <name val="Verdana"/>
      <family val="2"/>
    </font>
    <font>
      <sz val="7"/>
      <color rgb="FF000000"/>
      <name val="Verdana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i/>
      <sz val="9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i/>
      <sz val="11"/>
      <color indexed="8"/>
      <name val="Arial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  <font>
      <b/>
      <sz val="10"/>
      <color theme="1"/>
      <name val="Times New Roman"/>
      <family val="1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7"/>
      <color theme="0"/>
      <name val="Verdana"/>
      <family val="2"/>
    </font>
    <font>
      <sz val="10"/>
      <color theme="0"/>
      <name val="Arial"/>
      <family val="2"/>
    </font>
    <font>
      <sz val="7"/>
      <color theme="0"/>
      <name val="Verdana"/>
      <family val="2"/>
    </font>
    <font>
      <b/>
      <sz val="11"/>
      <color theme="0"/>
      <name val="Calibri"/>
      <family val="2"/>
      <scheme val="minor"/>
    </font>
    <font>
      <b/>
      <sz val="7"/>
      <color theme="1"/>
      <name val="Verdana"/>
      <family val="2"/>
    </font>
    <font>
      <sz val="7"/>
      <color theme="1"/>
      <name val="Verdan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7"/>
      <color rgb="FFFF0000"/>
      <name val="Verdana"/>
      <family val="2"/>
    </font>
    <font>
      <sz val="7"/>
      <name val="Verdana"/>
      <family val="2"/>
    </font>
    <font>
      <b/>
      <sz val="7"/>
      <name val="Verdana"/>
      <family val="2"/>
    </font>
    <font>
      <b/>
      <sz val="10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/>
      <top/>
      <bottom style="thick">
        <color rgb="FFFFFFFF"/>
      </bottom>
      <diagonal/>
    </border>
  </borders>
  <cellStyleXfs count="68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44" fontId="19" fillId="0" borderId="0" applyFont="0" applyFill="0" applyBorder="0" applyAlignment="0" applyProtection="0"/>
    <xf numFmtId="0" fontId="2" fillId="0" borderId="0"/>
    <xf numFmtId="0" fontId="19" fillId="0" borderId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1" fillId="24" borderId="13" applyNumberFormat="0" applyAlignment="0" applyProtection="0"/>
    <xf numFmtId="166" fontId="2" fillId="0" borderId="0" applyFill="0" applyBorder="0" applyAlignment="0" applyProtection="0"/>
    <xf numFmtId="3" fontId="2" fillId="0" borderId="0" applyFill="0" applyBorder="0" applyAlignment="0" applyProtection="0"/>
    <xf numFmtId="5" fontId="2" fillId="0" borderId="0" applyFill="0" applyBorder="0" applyAlignment="0" applyProtection="0"/>
    <xf numFmtId="173" fontId="2" fillId="0" borderId="0" applyFill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23" borderId="0" applyNumberFormat="0" applyBorder="0" applyAlignment="0" applyProtection="0"/>
    <xf numFmtId="174" fontId="2" fillId="0" borderId="0" applyFont="0" applyFill="0" applyBorder="0" applyAlignment="0" applyProtection="0"/>
    <xf numFmtId="2" fontId="2" fillId="0" borderId="0" applyFill="0" applyBorder="0" applyAlignment="0" applyProtection="0"/>
    <xf numFmtId="0" fontId="32" fillId="7" borderId="0" applyNumberFormat="0" applyBorder="0" applyAlignment="0" applyProtection="0"/>
    <xf numFmtId="172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10" fontId="2" fillId="0" borderId="0" applyFill="0" applyBorder="0" applyAlignment="0" applyProtection="0"/>
    <xf numFmtId="0" fontId="33" fillId="24" borderId="15" applyNumberFormat="0" applyAlignment="0" applyProtection="0"/>
    <xf numFmtId="43" fontId="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37" fillId="0" borderId="17" applyNumberFormat="0" applyFill="0" applyAlignment="0" applyProtection="0"/>
    <xf numFmtId="0" fontId="38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25" fillId="0" borderId="18" applyNumberFormat="0" applyFill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8">
    <xf numFmtId="0" fontId="0" fillId="0" borderId="0" xfId="0"/>
    <xf numFmtId="164" fontId="3" fillId="0" borderId="0" xfId="2" applyNumberFormat="1" applyFont="1"/>
    <xf numFmtId="164" fontId="4" fillId="0" borderId="0" xfId="2" applyNumberFormat="1" applyFont="1"/>
    <xf numFmtId="0" fontId="7" fillId="0" borderId="0" xfId="7" applyFont="1"/>
    <xf numFmtId="0" fontId="12" fillId="0" borderId="0" xfId="0" applyFont="1" applyAlignment="1">
      <alignment horizontal="left"/>
    </xf>
    <xf numFmtId="0" fontId="2" fillId="0" borderId="0" xfId="8"/>
    <xf numFmtId="165" fontId="2" fillId="0" borderId="0" xfId="9" applyFont="1" applyFill="1" applyBorder="1" applyAlignment="1">
      <alignment horizontal="right"/>
    </xf>
    <xf numFmtId="165" fontId="2" fillId="0" borderId="0" xfId="9" applyFont="1" applyFill="1" applyBorder="1"/>
    <xf numFmtId="0" fontId="2" fillId="0" borderId="0" xfId="4"/>
    <xf numFmtId="0" fontId="12" fillId="0" borderId="0" xfId="0" applyFont="1"/>
    <xf numFmtId="166" fontId="2" fillId="0" borderId="0" xfId="9" applyNumberFormat="1" applyFont="1" applyFill="1" applyBorder="1" applyAlignment="1">
      <alignment horizontal="left"/>
    </xf>
    <xf numFmtId="0" fontId="2" fillId="0" borderId="0" xfId="8" applyAlignment="1">
      <alignment horizontal="left"/>
    </xf>
    <xf numFmtId="165" fontId="2" fillId="0" borderId="0" xfId="9" applyFont="1" applyFill="1" applyBorder="1" applyAlignment="1">
      <alignment horizontal="left"/>
    </xf>
    <xf numFmtId="0" fontId="5" fillId="0" borderId="0" xfId="10" applyFont="1" applyFill="1" applyBorder="1" applyAlignment="1"/>
    <xf numFmtId="0" fontId="13" fillId="0" borderId="0" xfId="0" applyFont="1"/>
    <xf numFmtId="0" fontId="2" fillId="0" borderId="0" xfId="10" applyFill="1" applyBorder="1"/>
    <xf numFmtId="0" fontId="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2" borderId="7" xfId="0" applyFont="1" applyFill="1" applyBorder="1" applyAlignment="1">
      <alignment horizontal="left"/>
    </xf>
    <xf numFmtId="0" fontId="2" fillId="2" borderId="7" xfId="4" applyFill="1" applyBorder="1"/>
    <xf numFmtId="0" fontId="16" fillId="2" borderId="7" xfId="0" applyFont="1" applyFill="1" applyBorder="1" applyAlignment="1">
      <alignment horizontal="center"/>
    </xf>
    <xf numFmtId="0" fontId="5" fillId="2" borderId="7" xfId="11" applyFont="1" applyFill="1" applyBorder="1" applyAlignment="1">
      <alignment horizontal="right"/>
    </xf>
    <xf numFmtId="0" fontId="2" fillId="2" borderId="7" xfId="8" applyFill="1" applyBorder="1" applyAlignment="1">
      <alignment vertical="center"/>
    </xf>
    <xf numFmtId="0" fontId="2" fillId="0" borderId="0" xfId="8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9" applyFont="1" applyFill="1" applyBorder="1" applyAlignment="1">
      <alignment vertical="center"/>
    </xf>
    <xf numFmtId="0" fontId="5" fillId="3" borderId="0" xfId="0" applyFont="1" applyFill="1" applyAlignment="1">
      <alignment horizontal="left"/>
    </xf>
    <xf numFmtId="0" fontId="5" fillId="3" borderId="0" xfId="4" applyFont="1" applyFill="1"/>
    <xf numFmtId="0" fontId="5" fillId="3" borderId="0" xfId="0" applyFont="1" applyFill="1" applyAlignment="1">
      <alignment horizontal="center"/>
    </xf>
    <xf numFmtId="167" fontId="5" fillId="3" borderId="0" xfId="9" applyNumberFormat="1" applyFont="1" applyFill="1" applyBorder="1" applyAlignment="1">
      <alignment vertical="center"/>
    </xf>
    <xf numFmtId="165" fontId="5" fillId="3" borderId="0" xfId="9" applyFont="1" applyFill="1" applyBorder="1" applyAlignment="1">
      <alignment vertical="center"/>
    </xf>
    <xf numFmtId="167" fontId="2" fillId="0" borderId="0" xfId="9" applyNumberFormat="1" applyFont="1" applyFill="1" applyBorder="1" applyAlignment="1">
      <alignment vertical="center"/>
    </xf>
    <xf numFmtId="168" fontId="2" fillId="0" borderId="0" xfId="12" applyNumberFormat="1" applyFill="1" applyBorder="1" applyAlignment="1">
      <alignment vertical="center"/>
    </xf>
    <xf numFmtId="0" fontId="2" fillId="3" borderId="0" xfId="8" applyFill="1" applyAlignment="1">
      <alignment vertical="center"/>
    </xf>
    <xf numFmtId="0" fontId="5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168" fontId="2" fillId="3" borderId="0" xfId="12" applyNumberFormat="1" applyFill="1" applyBorder="1" applyAlignment="1">
      <alignment vertical="center"/>
    </xf>
    <xf numFmtId="0" fontId="5" fillId="3" borderId="0" xfId="4" applyFont="1" applyFill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2" fillId="3" borderId="0" xfId="0" applyFont="1" applyFill="1" applyAlignment="1">
      <alignment horizontal="left"/>
    </xf>
    <xf numFmtId="168" fontId="5" fillId="3" borderId="0" xfId="12" applyNumberFormat="1" applyFont="1" applyFill="1" applyBorder="1" applyAlignment="1">
      <alignment vertical="center"/>
    </xf>
    <xf numFmtId="0" fontId="5" fillId="3" borderId="0" xfId="0" applyFont="1" applyFill="1" applyAlignment="1">
      <alignment horizontal="right"/>
    </xf>
    <xf numFmtId="167" fontId="2" fillId="3" borderId="0" xfId="9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7" fontId="5" fillId="0" borderId="0" xfId="9" applyNumberFormat="1" applyFont="1" applyFill="1" applyBorder="1" applyAlignment="1">
      <alignment vertical="center"/>
    </xf>
    <xf numFmtId="0" fontId="5" fillId="0" borderId="0" xfId="4" applyFont="1"/>
    <xf numFmtId="0" fontId="5" fillId="0" borderId="0" xfId="4" applyFont="1" applyAlignment="1">
      <alignment horizontal="right"/>
    </xf>
    <xf numFmtId="0" fontId="2" fillId="3" borderId="0" xfId="4" applyFill="1"/>
    <xf numFmtId="167" fontId="2" fillId="0" borderId="0" xfId="4" applyNumberFormat="1"/>
    <xf numFmtId="165" fontId="2" fillId="3" borderId="0" xfId="9" applyFont="1" applyFill="1" applyBorder="1" applyAlignment="1">
      <alignment vertical="center"/>
    </xf>
    <xf numFmtId="0" fontId="2" fillId="4" borderId="0" xfId="0" applyFont="1" applyFill="1"/>
    <xf numFmtId="0" fontId="5" fillId="4" borderId="0" xfId="0" applyFont="1" applyFill="1" applyAlignment="1">
      <alignment horizontal="right"/>
    </xf>
    <xf numFmtId="167" fontId="2" fillId="4" borderId="0" xfId="9" applyNumberFormat="1" applyFont="1" applyFill="1" applyBorder="1" applyAlignment="1">
      <alignment vertical="center"/>
    </xf>
    <xf numFmtId="167" fontId="2" fillId="3" borderId="0" xfId="9" applyNumberFormat="1" applyFont="1" applyFill="1" applyBorder="1" applyAlignment="1">
      <alignment horizontal="right" vertical="center"/>
    </xf>
    <xf numFmtId="0" fontId="2" fillId="5" borderId="0" xfId="0" applyFont="1" applyFill="1" applyAlignment="1">
      <alignment horizontal="left"/>
    </xf>
    <xf numFmtId="0" fontId="2" fillId="5" borderId="0" xfId="4" applyFill="1"/>
    <xf numFmtId="0" fontId="5" fillId="5" borderId="0" xfId="4" applyFont="1" applyFill="1" applyAlignment="1">
      <alignment horizontal="right"/>
    </xf>
    <xf numFmtId="167" fontId="17" fillId="5" borderId="0" xfId="9" applyNumberFormat="1" applyFont="1" applyFill="1" applyBorder="1" applyAlignment="1">
      <alignment vertical="center"/>
    </xf>
    <xf numFmtId="168" fontId="2" fillId="4" borderId="0" xfId="12" applyNumberFormat="1" applyFill="1" applyBorder="1" applyAlignment="1">
      <alignment vertical="center"/>
    </xf>
    <xf numFmtId="167" fontId="17" fillId="3" borderId="0" xfId="9" applyNumberFormat="1" applyFont="1" applyFill="1" applyBorder="1" applyAlignment="1">
      <alignment vertical="center"/>
    </xf>
    <xf numFmtId="0" fontId="2" fillId="5" borderId="0" xfId="8" applyFill="1" applyAlignment="1">
      <alignment vertical="center"/>
    </xf>
    <xf numFmtId="0" fontId="2" fillId="3" borderId="0" xfId="0" applyFont="1" applyFill="1" applyAlignment="1">
      <alignment horizontal="right"/>
    </xf>
    <xf numFmtId="167" fontId="6" fillId="0" borderId="0" xfId="9" applyNumberFormat="1" applyFont="1" applyFill="1" applyBorder="1" applyAlignment="1">
      <alignment vertical="center"/>
    </xf>
    <xf numFmtId="167" fontId="18" fillId="3" borderId="0" xfId="9" applyNumberFormat="1" applyFont="1" applyFill="1" applyBorder="1" applyAlignment="1">
      <alignment vertical="center"/>
    </xf>
    <xf numFmtId="167" fontId="18" fillId="0" borderId="0" xfId="9" applyNumberFormat="1" applyFont="1" applyFill="1" applyBorder="1" applyAlignment="1">
      <alignment vertical="center"/>
    </xf>
    <xf numFmtId="167" fontId="17" fillId="0" borderId="0" xfId="9" applyNumberFormat="1" applyFont="1" applyFill="1" applyBorder="1" applyAlignment="1">
      <alignment vertical="center"/>
    </xf>
    <xf numFmtId="168" fontId="5" fillId="0" borderId="0" xfId="12" applyNumberFormat="1" applyFont="1" applyFill="1" applyBorder="1" applyAlignment="1">
      <alignment vertical="center"/>
    </xf>
    <xf numFmtId="169" fontId="2" fillId="0" borderId="0" xfId="13" applyNumberFormat="1" applyFont="1" applyFill="1" applyBorder="1"/>
    <xf numFmtId="0" fontId="20" fillId="0" borderId="0" xfId="0" applyFont="1"/>
    <xf numFmtId="167" fontId="2" fillId="0" borderId="0" xfId="9" applyNumberFormat="1" applyFont="1" applyFill="1" applyBorder="1" applyAlignment="1">
      <alignment horizontal="right" vertical="center"/>
    </xf>
    <xf numFmtId="167" fontId="6" fillId="0" borderId="0" xfId="9" applyNumberFormat="1" applyFont="1" applyFill="1" applyBorder="1" applyAlignment="1">
      <alignment horizontal="right" vertical="center"/>
    </xf>
    <xf numFmtId="1" fontId="2" fillId="0" borderId="0" xfId="4" applyNumberFormat="1"/>
    <xf numFmtId="0" fontId="17" fillId="0" borderId="0" xfId="0" applyFont="1"/>
    <xf numFmtId="0" fontId="17" fillId="3" borderId="0" xfId="4" applyFont="1" applyFill="1"/>
    <xf numFmtId="167" fontId="2" fillId="3" borderId="0" xfId="0" applyNumberFormat="1" applyFont="1" applyFill="1"/>
    <xf numFmtId="0" fontId="5" fillId="0" borderId="8" xfId="4" applyFont="1" applyBorder="1"/>
    <xf numFmtId="0" fontId="5" fillId="0" borderId="8" xfId="0" applyFont="1" applyBorder="1" applyAlignment="1">
      <alignment horizontal="left"/>
    </xf>
    <xf numFmtId="167" fontId="5" fillId="0" borderId="8" xfId="9" applyNumberFormat="1" applyFont="1" applyFill="1" applyBorder="1" applyAlignment="1">
      <alignment vertical="center"/>
    </xf>
    <xf numFmtId="0" fontId="5" fillId="0" borderId="8" xfId="10" applyFont="1" applyFill="1" applyBorder="1" applyAlignment="1">
      <alignment vertical="center"/>
    </xf>
    <xf numFmtId="0" fontId="5" fillId="0" borderId="0" xfId="10" applyFont="1" applyFill="1" applyBorder="1" applyAlignment="1">
      <alignment vertical="center"/>
    </xf>
    <xf numFmtId="0" fontId="16" fillId="0" borderId="0" xfId="0" applyFont="1" applyAlignment="1">
      <alignment horizontal="left"/>
    </xf>
    <xf numFmtId="0" fontId="3" fillId="0" borderId="0" xfId="4" applyFont="1"/>
    <xf numFmtId="0" fontId="5" fillId="0" borderId="0" xfId="4" applyFont="1" applyAlignment="1">
      <alignment horizontal="center"/>
    </xf>
    <xf numFmtId="0" fontId="2" fillId="0" borderId="0" xfId="4" applyAlignment="1">
      <alignment horizontal="center"/>
    </xf>
    <xf numFmtId="0" fontId="20" fillId="0" borderId="0" xfId="0" applyFont="1" applyAlignment="1">
      <alignment horizontal="left"/>
    </xf>
    <xf numFmtId="0" fontId="17" fillId="0" borderId="0" xfId="8" applyFont="1"/>
    <xf numFmtId="167" fontId="6" fillId="3" borderId="0" xfId="9" applyNumberFormat="1" applyFont="1" applyFill="1" applyBorder="1" applyAlignment="1">
      <alignment vertical="center"/>
    </xf>
    <xf numFmtId="0" fontId="5" fillId="0" borderId="0" xfId="14" applyFont="1"/>
    <xf numFmtId="0" fontId="2" fillId="0" borderId="0" xfId="14"/>
    <xf numFmtId="39" fontId="2" fillId="0" borderId="0" xfId="14" applyNumberFormat="1"/>
    <xf numFmtId="0" fontId="21" fillId="0" borderId="0" xfId="8" applyFont="1"/>
    <xf numFmtId="0" fontId="16" fillId="2" borderId="12" xfId="4" applyFont="1" applyFill="1" applyBorder="1" applyAlignment="1">
      <alignment vertical="center" wrapText="1"/>
    </xf>
    <xf numFmtId="0" fontId="2" fillId="2" borderId="12" xfId="4" applyFill="1" applyBorder="1"/>
    <xf numFmtId="0" fontId="16" fillId="2" borderId="12" xfId="0" applyFont="1" applyFill="1" applyBorder="1" applyAlignment="1">
      <alignment horizontal="center" wrapText="1"/>
    </xf>
    <xf numFmtId="0" fontId="16" fillId="2" borderId="12" xfId="0" applyFont="1" applyFill="1" applyBorder="1" applyAlignment="1">
      <alignment wrapText="1"/>
    </xf>
    <xf numFmtId="0" fontId="16" fillId="2" borderId="0" xfId="4" applyFont="1" applyFill="1" applyAlignment="1">
      <alignment vertical="center" wrapText="1"/>
    </xf>
    <xf numFmtId="0" fontId="16" fillId="2" borderId="0" xfId="0" applyFont="1" applyFill="1" applyAlignment="1">
      <alignment horizontal="right" wrapText="1"/>
    </xf>
    <xf numFmtId="0" fontId="16" fillId="2" borderId="1" xfId="4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right" wrapText="1"/>
    </xf>
    <xf numFmtId="167" fontId="2" fillId="0" borderId="0" xfId="9" applyNumberFormat="1" applyAlignment="1">
      <alignment vertical="center"/>
    </xf>
    <xf numFmtId="167" fontId="18" fillId="0" borderId="0" xfId="9" applyNumberFormat="1" applyFont="1" applyAlignment="1">
      <alignment vertical="center"/>
    </xf>
    <xf numFmtId="0" fontId="2" fillId="0" borderId="0" xfId="4" applyAlignment="1">
      <alignment vertical="top" wrapText="1"/>
    </xf>
    <xf numFmtId="167" fontId="2" fillId="0" borderId="0" xfId="4" applyNumberFormat="1" applyAlignment="1">
      <alignment vertical="top" wrapText="1"/>
    </xf>
    <xf numFmtId="167" fontId="2" fillId="0" borderId="0" xfId="4" applyNumberFormat="1" applyAlignment="1">
      <alignment horizontal="center" vertical="top" wrapText="1"/>
    </xf>
    <xf numFmtId="9" fontId="2" fillId="0" borderId="0" xfId="1" applyFont="1" applyFill="1" applyBorder="1" applyAlignment="1">
      <alignment vertical="top" wrapText="1"/>
    </xf>
    <xf numFmtId="0" fontId="22" fillId="0" borderId="0" xfId="11" applyFont="1" applyAlignment="1">
      <alignment horizontal="center"/>
    </xf>
    <xf numFmtId="171" fontId="22" fillId="0" borderId="0" xfId="11" applyNumberFormat="1" applyFont="1" applyAlignment="1">
      <alignment horizontal="center"/>
    </xf>
    <xf numFmtId="0" fontId="21" fillId="0" borderId="0" xfId="11" applyFont="1"/>
    <xf numFmtId="0" fontId="2" fillId="0" borderId="0" xfId="11"/>
    <xf numFmtId="0" fontId="23" fillId="0" borderId="0" xfId="0" applyFont="1" applyAlignment="1">
      <alignment horizontal="left"/>
    </xf>
    <xf numFmtId="0" fontId="24" fillId="0" borderId="0" xfId="11" applyFont="1" applyAlignment="1">
      <alignment horizontal="center"/>
    </xf>
    <xf numFmtId="171" fontId="24" fillId="0" borderId="0" xfId="11" applyNumberFormat="1" applyFont="1" applyAlignment="1">
      <alignment horizontal="center"/>
    </xf>
    <xf numFmtId="0" fontId="2" fillId="2" borderId="12" xfId="11" applyFill="1" applyBorder="1"/>
    <xf numFmtId="0" fontId="24" fillId="2" borderId="12" xfId="11" applyFont="1" applyFill="1" applyBorder="1" applyAlignment="1">
      <alignment horizontal="center"/>
    </xf>
    <xf numFmtId="171" fontId="24" fillId="2" borderId="12" xfId="11" applyNumberFormat="1" applyFont="1" applyFill="1" applyBorder="1" applyAlignment="1">
      <alignment horizontal="center"/>
    </xf>
    <xf numFmtId="0" fontId="5" fillId="2" borderId="12" xfId="11" applyFont="1" applyFill="1" applyBorder="1" applyAlignment="1">
      <alignment horizontal="right"/>
    </xf>
    <xf numFmtId="0" fontId="2" fillId="2" borderId="1" xfId="11" applyFill="1" applyBorder="1"/>
    <xf numFmtId="0" fontId="24" fillId="2" borderId="1" xfId="11" applyFont="1" applyFill="1" applyBorder="1" applyAlignment="1">
      <alignment horizontal="center"/>
    </xf>
    <xf numFmtId="171" fontId="5" fillId="2" borderId="1" xfId="11" applyNumberFormat="1" applyFont="1" applyFill="1" applyBorder="1" applyAlignment="1">
      <alignment horizontal="center"/>
    </xf>
    <xf numFmtId="0" fontId="5" fillId="2" borderId="1" xfId="11" applyFont="1" applyFill="1" applyBorder="1" applyAlignment="1">
      <alignment horizontal="right"/>
    </xf>
    <xf numFmtId="167" fontId="2" fillId="3" borderId="0" xfId="9" applyNumberFormat="1" applyFill="1" applyAlignment="1">
      <alignment vertical="center"/>
    </xf>
    <xf numFmtId="167" fontId="6" fillId="0" borderId="0" xfId="9" applyNumberFormat="1" applyFont="1" applyAlignment="1">
      <alignment vertical="center"/>
    </xf>
    <xf numFmtId="167" fontId="17" fillId="3" borderId="0" xfId="9" applyNumberFormat="1" applyFont="1" applyFill="1" applyAlignment="1">
      <alignment vertical="center"/>
    </xf>
    <xf numFmtId="167" fontId="0" fillId="0" borderId="0" xfId="0" applyNumberFormat="1"/>
    <xf numFmtId="167" fontId="18" fillId="3" borderId="0" xfId="9" applyNumberFormat="1" applyFont="1" applyFill="1" applyAlignment="1">
      <alignment vertical="center"/>
    </xf>
    <xf numFmtId="167" fontId="25" fillId="0" borderId="0" xfId="0" applyNumberFormat="1" applyFont="1"/>
    <xf numFmtId="0" fontId="25" fillId="0" borderId="0" xfId="0" applyFont="1"/>
    <xf numFmtId="167" fontId="18" fillId="0" borderId="0" xfId="9" quotePrefix="1" applyNumberFormat="1" applyFont="1" applyFill="1" applyBorder="1" applyAlignment="1">
      <alignment horizontal="right" vertical="center"/>
    </xf>
    <xf numFmtId="167" fontId="6" fillId="3" borderId="0" xfId="9" applyNumberFormat="1" applyFont="1" applyFill="1" applyAlignment="1">
      <alignment vertical="center"/>
    </xf>
    <xf numFmtId="0" fontId="26" fillId="0" borderId="0" xfId="0" applyFont="1"/>
    <xf numFmtId="0" fontId="27" fillId="0" borderId="0" xfId="0" applyFont="1"/>
    <xf numFmtId="1" fontId="27" fillId="0" borderId="0" xfId="0" applyNumberFormat="1" applyFont="1"/>
    <xf numFmtId="4" fontId="27" fillId="0" borderId="0" xfId="0" applyNumberFormat="1" applyFont="1"/>
    <xf numFmtId="1" fontId="0" fillId="0" borderId="0" xfId="0" applyNumberFormat="1"/>
    <xf numFmtId="167" fontId="18" fillId="0" borderId="0" xfId="9" applyNumberFormat="1" applyFont="1" applyFill="1" applyBorder="1" applyAlignment="1">
      <alignment horizontal="right" vertical="center"/>
    </xf>
    <xf numFmtId="167" fontId="5" fillId="4" borderId="0" xfId="9" applyNumberFormat="1" applyFont="1" applyFill="1" applyBorder="1" applyAlignment="1">
      <alignment vertical="center"/>
    </xf>
    <xf numFmtId="167" fontId="2" fillId="4" borderId="0" xfId="9" applyNumberFormat="1" applyFill="1" applyAlignment="1">
      <alignment vertical="center"/>
    </xf>
    <xf numFmtId="167" fontId="2" fillId="4" borderId="0" xfId="9" applyNumberFormat="1" applyFont="1" applyFill="1" applyBorder="1" applyAlignment="1">
      <alignment horizontal="right" vertical="center"/>
    </xf>
    <xf numFmtId="167" fontId="2" fillId="4" borderId="0" xfId="9" quotePrefix="1" applyNumberFormat="1" applyFill="1" applyAlignment="1">
      <alignment horizontal="right" vertical="center"/>
    </xf>
    <xf numFmtId="167" fontId="5" fillId="4" borderId="0" xfId="9" applyNumberFormat="1" applyFont="1" applyFill="1" applyAlignment="1">
      <alignment vertical="center"/>
    </xf>
    <xf numFmtId="167" fontId="5" fillId="4" borderId="8" xfId="9" applyNumberFormat="1" applyFont="1" applyFill="1" applyBorder="1" applyAlignment="1">
      <alignment vertical="center"/>
    </xf>
    <xf numFmtId="167" fontId="6" fillId="4" borderId="8" xfId="9" applyNumberFormat="1" applyFont="1" applyFill="1" applyBorder="1" applyAlignment="1">
      <alignment vertical="center"/>
    </xf>
    <xf numFmtId="167" fontId="17" fillId="4" borderId="0" xfId="9" applyNumberFormat="1" applyFont="1" applyFill="1" applyBorder="1" applyAlignment="1">
      <alignment vertical="center"/>
    </xf>
    <xf numFmtId="167" fontId="17" fillId="4" borderId="0" xfId="9" applyNumberFormat="1" applyFont="1" applyFill="1" applyAlignment="1">
      <alignment vertical="center"/>
    </xf>
    <xf numFmtId="167" fontId="18" fillId="4" borderId="0" xfId="9" applyNumberFormat="1" applyFont="1" applyFill="1" applyBorder="1" applyAlignment="1">
      <alignment vertical="center"/>
    </xf>
    <xf numFmtId="167" fontId="18" fillId="4" borderId="0" xfId="9" applyNumberFormat="1" applyFont="1" applyFill="1" applyAlignment="1">
      <alignment vertical="center"/>
    </xf>
    <xf numFmtId="171" fontId="2" fillId="0" borderId="0" xfId="4" applyNumberFormat="1"/>
    <xf numFmtId="167" fontId="20" fillId="0" borderId="0" xfId="0" applyNumberFormat="1" applyFont="1"/>
    <xf numFmtId="0" fontId="21" fillId="0" borderId="0" xfId="0" applyFont="1"/>
    <xf numFmtId="167" fontId="2" fillId="0" borderId="0" xfId="0" applyNumberFormat="1" applyFont="1"/>
    <xf numFmtId="0" fontId="28" fillId="0" borderId="0" xfId="0" applyFont="1"/>
    <xf numFmtId="0" fontId="19" fillId="0" borderId="0" xfId="15"/>
    <xf numFmtId="0" fontId="12" fillId="0" borderId="0" xfId="15" applyFont="1" applyFill="1" applyAlignment="1">
      <alignment horizontal="left"/>
    </xf>
    <xf numFmtId="0" fontId="12" fillId="0" borderId="0" xfId="15" applyFont="1" applyFill="1"/>
    <xf numFmtId="0" fontId="20" fillId="0" borderId="0" xfId="15" applyFont="1" applyFill="1" applyAlignment="1">
      <alignment horizontal="left"/>
    </xf>
    <xf numFmtId="0" fontId="2" fillId="0" borderId="0" xfId="8" applyFont="1" applyFill="1" applyBorder="1"/>
    <xf numFmtId="43" fontId="2" fillId="0" borderId="0" xfId="57" applyFont="1" applyFill="1" applyBorder="1" applyAlignment="1">
      <alignment horizontal="right"/>
    </xf>
    <xf numFmtId="0" fontId="15" fillId="0" borderId="0" xfId="15" applyFont="1" applyFill="1" applyAlignment="1">
      <alignment horizontal="left"/>
    </xf>
    <xf numFmtId="0" fontId="2" fillId="0" borderId="0" xfId="50" applyFont="1" applyFill="1"/>
    <xf numFmtId="41" fontId="2" fillId="0" borderId="0" xfId="57" applyNumberFormat="1" applyFont="1" applyFill="1" applyBorder="1" applyAlignment="1">
      <alignment vertical="center"/>
    </xf>
    <xf numFmtId="0" fontId="2" fillId="0" borderId="0" xfId="15" applyFont="1" applyFill="1" applyAlignment="1">
      <alignment horizontal="left"/>
    </xf>
    <xf numFmtId="0" fontId="5" fillId="0" borderId="0" xfId="50" applyFont="1" applyBorder="1" applyAlignment="1">
      <alignment horizontal="center"/>
    </xf>
    <xf numFmtId="0" fontId="13" fillId="0" borderId="0" xfId="15" applyFont="1"/>
    <xf numFmtId="41" fontId="2" fillId="3" borderId="0" xfId="57" applyNumberFormat="1" applyFont="1" applyFill="1" applyBorder="1" applyAlignment="1">
      <alignment vertical="center"/>
    </xf>
    <xf numFmtId="41" fontId="5" fillId="3" borderId="0" xfId="57" applyNumberFormat="1" applyFont="1" applyFill="1" applyBorder="1" applyAlignment="1">
      <alignment vertical="center"/>
    </xf>
    <xf numFmtId="41" fontId="5" fillId="0" borderId="0" xfId="57" applyNumberFormat="1" applyFont="1" applyFill="1" applyBorder="1" applyAlignment="1">
      <alignment vertical="center"/>
    </xf>
    <xf numFmtId="0" fontId="3" fillId="0" borderId="0" xfId="50" applyFont="1" applyFill="1"/>
    <xf numFmtId="0" fontId="14" fillId="0" borderId="0" xfId="15" applyFont="1" applyFill="1" applyAlignment="1">
      <alignment horizontal="left"/>
    </xf>
    <xf numFmtId="0" fontId="2" fillId="2" borderId="9" xfId="8" applyFont="1" applyFill="1" applyBorder="1"/>
    <xf numFmtId="0" fontId="2" fillId="2" borderId="9" xfId="11" applyFont="1" applyFill="1" applyBorder="1"/>
    <xf numFmtId="0" fontId="2" fillId="2" borderId="10" xfId="8" applyFont="1" applyFill="1" applyBorder="1"/>
    <xf numFmtId="0" fontId="5" fillId="2" borderId="10" xfId="8" applyFont="1" applyFill="1" applyBorder="1" applyAlignment="1">
      <alignment horizontal="center"/>
    </xf>
    <xf numFmtId="0" fontId="5" fillId="2" borderId="10" xfId="11" applyFont="1" applyFill="1" applyBorder="1" applyAlignment="1">
      <alignment horizontal="right"/>
    </xf>
    <xf numFmtId="41" fontId="5" fillId="3" borderId="8" xfId="57" applyNumberFormat="1" applyFont="1" applyFill="1" applyBorder="1" applyAlignment="1">
      <alignment vertical="center"/>
    </xf>
    <xf numFmtId="41" fontId="18" fillId="0" borderId="0" xfId="57" applyNumberFormat="1" applyFont="1" applyFill="1" applyBorder="1" applyAlignment="1">
      <alignment vertical="center"/>
    </xf>
    <xf numFmtId="41" fontId="6" fillId="3" borderId="0" xfId="57" applyNumberFormat="1" applyFont="1" applyFill="1" applyBorder="1" applyAlignment="1">
      <alignment vertical="center"/>
    </xf>
    <xf numFmtId="41" fontId="18" fillId="3" borderId="0" xfId="57" applyNumberFormat="1" applyFont="1" applyFill="1" applyBorder="1" applyAlignment="1">
      <alignment vertical="center"/>
    </xf>
    <xf numFmtId="41" fontId="6" fillId="0" borderId="0" xfId="57" applyNumberFormat="1" applyFont="1" applyFill="1" applyBorder="1" applyAlignment="1">
      <alignment vertical="center"/>
    </xf>
    <xf numFmtId="0" fontId="5" fillId="2" borderId="9" xfId="11" applyFont="1" applyFill="1" applyBorder="1" applyAlignment="1">
      <alignment horizontal="right"/>
    </xf>
    <xf numFmtId="41" fontId="6" fillId="3" borderId="8" xfId="57" applyNumberFormat="1" applyFont="1" applyFill="1" applyBorder="1" applyAlignment="1">
      <alignment vertical="center"/>
    </xf>
    <xf numFmtId="41" fontId="2" fillId="0" borderId="11" xfId="57" applyNumberFormat="1" applyFont="1" applyFill="1" applyBorder="1" applyAlignment="1">
      <alignment vertical="center"/>
    </xf>
    <xf numFmtId="41" fontId="18" fillId="0" borderId="11" xfId="57" applyNumberFormat="1" applyFont="1" applyFill="1" applyBorder="1" applyAlignment="1">
      <alignment vertical="center"/>
    </xf>
    <xf numFmtId="170" fontId="6" fillId="3" borderId="8" xfId="57" applyNumberFormat="1" applyFont="1" applyFill="1" applyBorder="1" applyAlignment="1">
      <alignment vertical="center"/>
    </xf>
    <xf numFmtId="170" fontId="5" fillId="3" borderId="8" xfId="57" applyNumberFormat="1" applyFont="1" applyFill="1" applyBorder="1" applyAlignment="1">
      <alignment vertical="center"/>
    </xf>
    <xf numFmtId="0" fontId="13" fillId="0" borderId="0" xfId="51" applyFont="1" applyFill="1"/>
    <xf numFmtId="0" fontId="13" fillId="0" borderId="0" xfId="51" applyFont="1" applyFill="1" applyAlignment="1">
      <alignment horizontal="left"/>
    </xf>
    <xf numFmtId="0" fontId="2" fillId="0" borderId="0" xfId="8" applyFont="1" applyFill="1" applyBorder="1"/>
    <xf numFmtId="0" fontId="13" fillId="0" borderId="0" xfId="51" applyFont="1"/>
    <xf numFmtId="0" fontId="14" fillId="0" borderId="0" xfId="51" applyFont="1" applyFill="1" applyAlignment="1">
      <alignment horizontal="left"/>
    </xf>
    <xf numFmtId="0" fontId="40" fillId="0" borderId="0" xfId="4" applyFont="1"/>
    <xf numFmtId="0" fontId="10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3" fontId="10" fillId="0" borderId="24" xfId="0" applyNumberFormat="1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4" xfId="0" applyNumberFormat="1" applyFont="1" applyFill="1" applyBorder="1" applyAlignment="1">
      <alignment horizontal="right" vertical="center" wrapText="1"/>
    </xf>
    <xf numFmtId="3" fontId="11" fillId="0" borderId="24" xfId="0" applyNumberFormat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vertical="center" wrapText="1"/>
    </xf>
    <xf numFmtId="175" fontId="10" fillId="0" borderId="4" xfId="0" applyNumberFormat="1" applyFont="1" applyFill="1" applyBorder="1" applyAlignment="1">
      <alignment horizontal="right" vertical="center" wrapText="1"/>
    </xf>
    <xf numFmtId="175" fontId="11" fillId="0" borderId="4" xfId="0" applyNumberFormat="1" applyFont="1" applyFill="1" applyBorder="1" applyAlignment="1">
      <alignment horizontal="right" vertical="center" wrapText="1"/>
    </xf>
    <xf numFmtId="0" fontId="29" fillId="0" borderId="4" xfId="0" applyFont="1" applyFill="1" applyBorder="1" applyAlignment="1">
      <alignment vertical="center" wrapText="1"/>
    </xf>
    <xf numFmtId="0" fontId="11" fillId="0" borderId="24" xfId="0" applyFont="1" applyFill="1" applyBorder="1" applyAlignment="1">
      <alignment horizontal="right" vertical="center" wrapText="1"/>
    </xf>
    <xf numFmtId="0" fontId="9" fillId="25" borderId="20" xfId="0" applyFont="1" applyFill="1" applyBorder="1" applyAlignment="1">
      <alignment horizontal="center" vertical="center" wrapText="1"/>
    </xf>
    <xf numFmtId="0" fontId="9" fillId="25" borderId="2" xfId="0" applyFont="1" applyFill="1" applyBorder="1" applyAlignment="1">
      <alignment horizontal="center" vertical="center" wrapText="1"/>
    </xf>
    <xf numFmtId="0" fontId="9" fillId="25" borderId="5" xfId="0" applyFont="1" applyFill="1" applyBorder="1" applyAlignment="1">
      <alignment horizontal="center" vertical="center" wrapText="1"/>
    </xf>
    <xf numFmtId="0" fontId="9" fillId="25" borderId="6" xfId="0" applyFont="1" applyFill="1" applyBorder="1" applyAlignment="1">
      <alignment horizontal="center" vertical="center" wrapText="1"/>
    </xf>
    <xf numFmtId="0" fontId="9" fillId="25" borderId="5" xfId="0" applyFont="1" applyFill="1" applyBorder="1" applyAlignment="1">
      <alignment horizontal="right" vertical="center" wrapText="1"/>
    </xf>
    <xf numFmtId="0" fontId="9" fillId="25" borderId="23" xfId="0" applyFont="1" applyFill="1" applyBorder="1" applyAlignment="1">
      <alignment horizontal="right" vertical="center" wrapText="1"/>
    </xf>
    <xf numFmtId="0" fontId="9" fillId="25" borderId="4" xfId="0" applyFont="1" applyFill="1" applyBorder="1" applyAlignment="1">
      <alignment horizontal="center" vertical="center" wrapText="1"/>
    </xf>
    <xf numFmtId="0" fontId="9" fillId="25" borderId="3" xfId="0" applyFont="1" applyFill="1" applyBorder="1" applyAlignment="1">
      <alignment horizontal="center" vertical="center" wrapText="1"/>
    </xf>
    <xf numFmtId="0" fontId="9" fillId="25" borderId="4" xfId="0" applyFont="1" applyFill="1" applyBorder="1" applyAlignment="1">
      <alignment horizontal="right" vertical="center" wrapText="1"/>
    </xf>
    <xf numFmtId="0" fontId="9" fillId="25" borderId="24" xfId="0" applyFont="1" applyFill="1" applyBorder="1" applyAlignment="1">
      <alignment horizontal="right" vertical="center" wrapText="1"/>
    </xf>
    <xf numFmtId="0" fontId="9" fillId="25" borderId="25" xfId="0" applyFont="1" applyFill="1" applyBorder="1" applyAlignment="1">
      <alignment vertical="center" wrapText="1"/>
    </xf>
    <xf numFmtId="0" fontId="11" fillId="25" borderId="25" xfId="0" applyFont="1" applyFill="1" applyBorder="1" applyAlignment="1">
      <alignment horizontal="center" vertical="center" wrapText="1"/>
    </xf>
    <xf numFmtId="3" fontId="9" fillId="25" borderId="25" xfId="0" applyNumberFormat="1" applyFont="1" applyFill="1" applyBorder="1" applyAlignment="1">
      <alignment horizontal="right" vertical="center" wrapText="1"/>
    </xf>
    <xf numFmtId="0" fontId="9" fillId="25" borderId="26" xfId="0" applyFont="1" applyFill="1" applyBorder="1" applyAlignment="1">
      <alignment vertical="center" wrapText="1"/>
    </xf>
    <xf numFmtId="3" fontId="9" fillId="25" borderId="0" xfId="0" applyNumberFormat="1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center" vertical="center" wrapText="1"/>
    </xf>
    <xf numFmtId="175" fontId="10" fillId="0" borderId="24" xfId="0" applyNumberFormat="1" applyFont="1" applyFill="1" applyBorder="1" applyAlignment="1">
      <alignment horizontal="right" vertical="center" wrapText="1"/>
    </xf>
    <xf numFmtId="175" fontId="11" fillId="0" borderId="24" xfId="0" applyNumberFormat="1" applyFont="1" applyFill="1" applyBorder="1" applyAlignment="1">
      <alignment horizontal="right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vertical="center" wrapText="1"/>
    </xf>
    <xf numFmtId="3" fontId="43" fillId="0" borderId="4" xfId="0" applyNumberFormat="1" applyFont="1" applyFill="1" applyBorder="1" applyAlignment="1">
      <alignment horizontal="right" vertical="center" wrapText="1"/>
    </xf>
    <xf numFmtId="3" fontId="43" fillId="0" borderId="24" xfId="0" applyNumberFormat="1" applyFont="1" applyFill="1" applyBorder="1" applyAlignment="1">
      <alignment horizontal="right" vertical="center" wrapText="1"/>
    </xf>
    <xf numFmtId="0" fontId="44" fillId="0" borderId="4" xfId="0" applyFont="1" applyFill="1" applyBorder="1" applyAlignment="1">
      <alignment vertical="center" wrapText="1"/>
    </xf>
    <xf numFmtId="0" fontId="44" fillId="0" borderId="4" xfId="0" applyFont="1" applyFill="1" applyBorder="1" applyAlignment="1">
      <alignment horizontal="center" vertical="center" wrapText="1"/>
    </xf>
    <xf numFmtId="3" fontId="44" fillId="0" borderId="4" xfId="0" applyNumberFormat="1" applyFont="1" applyFill="1" applyBorder="1" applyAlignment="1">
      <alignment horizontal="right" vertical="center" wrapText="1"/>
    </xf>
    <xf numFmtId="3" fontId="44" fillId="0" borderId="24" xfId="0" applyNumberFormat="1" applyFont="1" applyFill="1" applyBorder="1" applyAlignment="1">
      <alignment horizontal="right" vertical="center" wrapText="1"/>
    </xf>
    <xf numFmtId="0" fontId="44" fillId="0" borderId="4" xfId="0" applyFont="1" applyFill="1" applyBorder="1" applyAlignment="1">
      <alignment horizontal="left" vertical="center" wrapText="1" indent="1"/>
    </xf>
    <xf numFmtId="175" fontId="43" fillId="0" borderId="4" xfId="0" applyNumberFormat="1" applyFont="1" applyFill="1" applyBorder="1" applyAlignment="1">
      <alignment horizontal="right" vertical="center" wrapText="1"/>
    </xf>
    <xf numFmtId="175" fontId="43" fillId="0" borderId="24" xfId="0" applyNumberFormat="1" applyFont="1" applyFill="1" applyBorder="1" applyAlignment="1">
      <alignment horizontal="right" vertical="center" wrapText="1"/>
    </xf>
    <xf numFmtId="175" fontId="44" fillId="0" borderId="4" xfId="0" applyNumberFormat="1" applyFont="1" applyFill="1" applyBorder="1" applyAlignment="1">
      <alignment horizontal="right" vertical="center" wrapText="1"/>
    </xf>
    <xf numFmtId="175" fontId="44" fillId="0" borderId="24" xfId="0" applyNumberFormat="1" applyFont="1" applyFill="1" applyBorder="1" applyAlignment="1">
      <alignment horizontal="right" vertical="center" wrapText="1"/>
    </xf>
    <xf numFmtId="0" fontId="44" fillId="0" borderId="4" xfId="0" applyFont="1" applyFill="1" applyBorder="1" applyAlignment="1">
      <alignment horizontal="right" vertical="center" wrapText="1"/>
    </xf>
    <xf numFmtId="0" fontId="44" fillId="0" borderId="24" xfId="0" applyFont="1" applyFill="1" applyBorder="1" applyAlignment="1">
      <alignment horizontal="right" vertical="center" wrapText="1"/>
    </xf>
    <xf numFmtId="0" fontId="39" fillId="25" borderId="4" xfId="0" applyFont="1" applyFill="1" applyBorder="1" applyAlignment="1">
      <alignment vertical="center" wrapText="1"/>
    </xf>
    <xf numFmtId="0" fontId="39" fillId="25" borderId="4" xfId="0" applyFont="1" applyFill="1" applyBorder="1" applyAlignment="1">
      <alignment horizontal="right" vertical="center" wrapText="1"/>
    </xf>
    <xf numFmtId="3" fontId="39" fillId="25" borderId="4" xfId="0" applyNumberFormat="1" applyFont="1" applyFill="1" applyBorder="1" applyAlignment="1">
      <alignment horizontal="right" vertical="center" wrapText="1"/>
    </xf>
    <xf numFmtId="3" fontId="39" fillId="25" borderId="24" xfId="0" applyNumberFormat="1" applyFont="1" applyFill="1" applyBorder="1" applyAlignment="1">
      <alignment horizontal="right" vertical="center" wrapText="1"/>
    </xf>
    <xf numFmtId="0" fontId="39" fillId="25" borderId="4" xfId="0" applyFont="1" applyFill="1" applyBorder="1" applyAlignment="1">
      <alignment horizontal="center" vertical="center" wrapText="1"/>
    </xf>
    <xf numFmtId="0" fontId="39" fillId="25" borderId="2" xfId="0" applyFont="1" applyFill="1" applyBorder="1" applyAlignment="1">
      <alignment horizontal="center" vertical="center" wrapText="1"/>
    </xf>
    <xf numFmtId="0" fontId="39" fillId="25" borderId="24" xfId="0" applyFont="1" applyFill="1" applyBorder="1" applyAlignment="1">
      <alignment horizontal="center" vertical="center" wrapText="1"/>
    </xf>
    <xf numFmtId="175" fontId="39" fillId="0" borderId="4" xfId="0" applyNumberFormat="1" applyFont="1" applyFill="1" applyBorder="1" applyAlignment="1">
      <alignment horizontal="right" vertical="center" wrapText="1"/>
    </xf>
    <xf numFmtId="0" fontId="39" fillId="0" borderId="3" xfId="0" applyFont="1" applyFill="1" applyBorder="1" applyAlignment="1">
      <alignment vertical="center" wrapText="1"/>
    </xf>
    <xf numFmtId="0" fontId="39" fillId="0" borderId="4" xfId="0" applyFont="1" applyFill="1" applyBorder="1" applyAlignment="1">
      <alignment horizontal="center" vertical="center" wrapText="1"/>
    </xf>
    <xf numFmtId="0" fontId="41" fillId="26" borderId="3" xfId="0" applyFont="1" applyFill="1" applyBorder="1" applyAlignment="1">
      <alignment vertical="center" wrapText="1"/>
    </xf>
    <xf numFmtId="0" fontId="41" fillId="26" borderId="4" xfId="0" applyFont="1" applyFill="1" applyBorder="1" applyAlignment="1">
      <alignment horizontal="center" vertical="center" wrapText="1"/>
    </xf>
    <xf numFmtId="3" fontId="41" fillId="26" borderId="4" xfId="0" applyNumberFormat="1" applyFont="1" applyFill="1" applyBorder="1" applyAlignment="1">
      <alignment horizontal="right" vertical="center" wrapText="1"/>
    </xf>
    <xf numFmtId="0" fontId="39" fillId="26" borderId="26" xfId="0" applyFont="1" applyFill="1" applyBorder="1" applyAlignment="1">
      <alignment vertical="center" wrapText="1"/>
    </xf>
    <xf numFmtId="0" fontId="39" fillId="26" borderId="25" xfId="0" applyFont="1" applyFill="1" applyBorder="1" applyAlignment="1">
      <alignment horizontal="center" vertical="center" wrapText="1"/>
    </xf>
    <xf numFmtId="175" fontId="39" fillId="26" borderId="25" xfId="0" applyNumberFormat="1" applyFont="1" applyFill="1" applyBorder="1" applyAlignment="1">
      <alignment horizontal="right" vertical="center" wrapText="1"/>
    </xf>
    <xf numFmtId="0" fontId="39" fillId="26" borderId="21" xfId="0" applyFont="1" applyFill="1" applyBorder="1" applyAlignment="1">
      <alignment vertical="center" wrapText="1"/>
    </xf>
    <xf numFmtId="175" fontId="39" fillId="26" borderId="4" xfId="0" applyNumberFormat="1" applyFont="1" applyFill="1" applyBorder="1" applyAlignment="1">
      <alignment horizontal="right" vertical="center" wrapText="1"/>
    </xf>
    <xf numFmtId="175" fontId="39" fillId="26" borderId="24" xfId="0" applyNumberFormat="1" applyFont="1" applyFill="1" applyBorder="1" applyAlignment="1">
      <alignment horizontal="right" vertical="center" wrapText="1"/>
    </xf>
    <xf numFmtId="0" fontId="10" fillId="26" borderId="3" xfId="0" applyFont="1" applyFill="1" applyBorder="1" applyAlignment="1">
      <alignment vertical="center" wrapText="1"/>
    </xf>
    <xf numFmtId="175" fontId="10" fillId="26" borderId="4" xfId="0" applyNumberFormat="1" applyFont="1" applyFill="1" applyBorder="1" applyAlignment="1">
      <alignment horizontal="right" vertical="center" wrapText="1"/>
    </xf>
    <xf numFmtId="175" fontId="10" fillId="26" borderId="24" xfId="0" applyNumberFormat="1" applyFont="1" applyFill="1" applyBorder="1" applyAlignment="1">
      <alignment horizontal="right" vertical="center" wrapText="1"/>
    </xf>
    <xf numFmtId="0" fontId="11" fillId="26" borderId="3" xfId="0" applyFont="1" applyFill="1" applyBorder="1" applyAlignment="1">
      <alignment vertical="center" wrapText="1"/>
    </xf>
    <xf numFmtId="0" fontId="11" fillId="26" borderId="4" xfId="0" applyFont="1" applyFill="1" applyBorder="1" applyAlignment="1">
      <alignment horizontal="center" vertical="center" wrapText="1"/>
    </xf>
    <xf numFmtId="3" fontId="11" fillId="26" borderId="4" xfId="0" applyNumberFormat="1" applyFont="1" applyFill="1" applyBorder="1" applyAlignment="1">
      <alignment horizontal="right" vertical="center" wrapText="1"/>
    </xf>
    <xf numFmtId="3" fontId="11" fillId="26" borderId="24" xfId="0" applyNumberFormat="1" applyFont="1" applyFill="1" applyBorder="1" applyAlignment="1">
      <alignment horizontal="right" vertical="center" wrapText="1"/>
    </xf>
    <xf numFmtId="0" fontId="39" fillId="26" borderId="2" xfId="0" applyFont="1" applyFill="1" applyBorder="1" applyAlignment="1">
      <alignment horizontal="center" vertical="center" wrapText="1"/>
    </xf>
    <xf numFmtId="0" fontId="39" fillId="26" borderId="19" xfId="0" applyFont="1" applyFill="1" applyBorder="1" applyAlignment="1">
      <alignment horizontal="center" vertical="center" wrapText="1"/>
    </xf>
    <xf numFmtId="0" fontId="42" fillId="26" borderId="20" xfId="0" applyFont="1" applyFill="1" applyBorder="1" applyAlignment="1">
      <alignment horizontal="center" vertical="center" wrapText="1"/>
    </xf>
    <xf numFmtId="0" fontId="39" fillId="26" borderId="3" xfId="0" applyFont="1" applyFill="1" applyBorder="1" applyAlignment="1">
      <alignment horizontal="center" vertical="center" wrapText="1"/>
    </xf>
    <xf numFmtId="0" fontId="42" fillId="26" borderId="3" xfId="0" applyFont="1" applyFill="1" applyBorder="1" applyAlignment="1">
      <alignment horizontal="center" vertical="center" wrapText="1"/>
    </xf>
    <xf numFmtId="0" fontId="42" fillId="26" borderId="27" xfId="0" applyFont="1" applyFill="1" applyBorder="1" applyAlignment="1">
      <alignment horizontal="center" vertical="center" wrapText="1"/>
    </xf>
    <xf numFmtId="171" fontId="39" fillId="26" borderId="22" xfId="11" applyNumberFormat="1" applyFont="1" applyFill="1" applyBorder="1" applyAlignment="1">
      <alignment horizontal="center"/>
    </xf>
    <xf numFmtId="0" fontId="39" fillId="26" borderId="0" xfId="11" applyFont="1" applyFill="1" applyBorder="1"/>
    <xf numFmtId="0" fontId="3" fillId="0" borderId="0" xfId="4" applyFont="1" applyFill="1"/>
    <xf numFmtId="0" fontId="7" fillId="0" borderId="0" xfId="7" applyFont="1" applyFill="1"/>
    <xf numFmtId="0" fontId="3" fillId="0" borderId="0" xfId="4" applyFont="1" applyFill="1" applyBorder="1"/>
    <xf numFmtId="0" fontId="11" fillId="0" borderId="2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26" xfId="0" applyFont="1" applyFill="1" applyBorder="1" applyAlignment="1">
      <alignment vertical="center" wrapText="1"/>
    </xf>
    <xf numFmtId="3" fontId="11" fillId="0" borderId="25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9" fontId="3" fillId="0" borderId="0" xfId="1" applyFont="1"/>
    <xf numFmtId="164" fontId="3" fillId="27" borderId="0" xfId="2" applyNumberFormat="1" applyFont="1" applyFill="1"/>
    <xf numFmtId="164" fontId="3" fillId="0" borderId="0" xfId="2" applyNumberFormat="1" applyFont="1" applyFill="1"/>
    <xf numFmtId="3" fontId="0" fillId="0" borderId="0" xfId="0" applyNumberFormat="1"/>
    <xf numFmtId="0" fontId="48" fillId="0" borderId="4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vertical="center" wrapText="1"/>
    </xf>
    <xf numFmtId="0" fontId="13" fillId="0" borderId="0" xfId="51" applyFont="1" applyAlignment="1">
      <alignment horizontal="left"/>
    </xf>
    <xf numFmtId="0" fontId="14" fillId="0" borderId="0" xfId="51" applyFont="1" applyAlignment="1">
      <alignment horizontal="left"/>
    </xf>
    <xf numFmtId="0" fontId="47" fillId="0" borderId="3" xfId="0" applyFont="1" applyFill="1" applyBorder="1" applyAlignment="1">
      <alignment vertical="center" wrapText="1"/>
    </xf>
    <xf numFmtId="0" fontId="0" fillId="0" borderId="0" xfId="0" applyFill="1"/>
    <xf numFmtId="43" fontId="0" fillId="0" borderId="0" xfId="67" applyFont="1"/>
    <xf numFmtId="175" fontId="2" fillId="0" borderId="0" xfId="4" applyNumberFormat="1" applyFill="1"/>
    <xf numFmtId="0" fontId="2" fillId="0" borderId="0" xfId="4" applyFill="1"/>
    <xf numFmtId="0" fontId="50" fillId="25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left" vertical="center" wrapText="1" indent="1"/>
    </xf>
    <xf numFmtId="3" fontId="18" fillId="0" borderId="0" xfId="0" applyNumberFormat="1" applyFont="1" applyBorder="1" applyAlignment="1">
      <alignment horizontal="right" vertical="center" wrapText="1"/>
    </xf>
    <xf numFmtId="175" fontId="6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50" fillId="25" borderId="0" xfId="0" applyFont="1" applyFill="1" applyBorder="1" applyAlignment="1">
      <alignment vertical="center" wrapText="1"/>
    </xf>
    <xf numFmtId="3" fontId="50" fillId="25" borderId="0" xfId="0" applyNumberFormat="1" applyFont="1" applyFill="1" applyBorder="1" applyAlignment="1">
      <alignment horizontal="right" vertical="center" wrapText="1"/>
    </xf>
    <xf numFmtId="164" fontId="4" fillId="0" borderId="0" xfId="2" applyNumberFormat="1" applyFont="1" applyBorder="1"/>
    <xf numFmtId="164" fontId="3" fillId="0" borderId="0" xfId="2" applyNumberFormat="1" applyFont="1" applyBorder="1"/>
    <xf numFmtId="0" fontId="7" fillId="0" borderId="0" xfId="7" applyFont="1" applyBorder="1"/>
    <xf numFmtId="0" fontId="2" fillId="0" borderId="0" xfId="4" applyFont="1" applyFill="1"/>
    <xf numFmtId="0" fontId="2" fillId="0" borderId="0" xfId="7" applyFont="1" applyFill="1"/>
    <xf numFmtId="0" fontId="13" fillId="0" borderId="0" xfId="0" applyFont="1" applyAlignment="1">
      <alignment horizontal="left"/>
    </xf>
    <xf numFmtId="176" fontId="39" fillId="25" borderId="4" xfId="0" applyNumberFormat="1" applyFont="1" applyFill="1" applyBorder="1" applyAlignment="1">
      <alignment horizontal="right" vertical="center" wrapText="1"/>
    </xf>
    <xf numFmtId="176" fontId="39" fillId="25" borderId="24" xfId="0" applyNumberFormat="1" applyFont="1" applyFill="1" applyBorder="1" applyAlignment="1">
      <alignment horizontal="right" vertical="center" wrapText="1"/>
    </xf>
    <xf numFmtId="0" fontId="16" fillId="2" borderId="7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right" wrapText="1"/>
    </xf>
    <xf numFmtId="0" fontId="16" fillId="2" borderId="1" xfId="0" applyFont="1" applyFill="1" applyBorder="1" applyAlignment="1">
      <alignment horizontal="right" wrapText="1"/>
    </xf>
    <xf numFmtId="167" fontId="5" fillId="0" borderId="0" xfId="9" applyNumberFormat="1" applyFont="1" applyFill="1" applyBorder="1" applyAlignment="1">
      <alignment horizontal="left" vertical="center" wrapText="1"/>
    </xf>
  </cellXfs>
  <cellStyles count="68">
    <cellStyle name="20% - Accent1" xfId="16" xr:uid="{A8DD74D6-65C1-448C-8F8B-F94F1BD87AC5}"/>
    <cellStyle name="20% - Accent2" xfId="17" xr:uid="{5613919A-CBCC-4395-A58B-A79CC5A022F3}"/>
    <cellStyle name="20% - Accent3" xfId="18" xr:uid="{A6588154-D84E-4243-A628-0FAA9CB49298}"/>
    <cellStyle name="20% - Accent4" xfId="19" xr:uid="{C7C7D0FD-659F-45C5-BC5E-41B2C7EC8870}"/>
    <cellStyle name="20% - Accent5" xfId="20" xr:uid="{D61338AC-3CA7-4762-ADEB-D1999926F6EC}"/>
    <cellStyle name="20% - Accent6" xfId="21" xr:uid="{3B36CB92-F14B-4657-8173-6C47DBA70E17}"/>
    <cellStyle name="40% - Accent1" xfId="22" xr:uid="{69A52423-8484-47C0-A70B-39032093A7F5}"/>
    <cellStyle name="40% - Accent2" xfId="23" xr:uid="{BB23278D-6538-4A03-8045-5DB9D4CD367C}"/>
    <cellStyle name="40% - Accent3" xfId="24" xr:uid="{6B06E0EC-FF58-4C63-8A9F-FD7589924549}"/>
    <cellStyle name="40% - Accent4" xfId="25" xr:uid="{8962C5B0-1C56-40CD-AD64-A04BE7C40440}"/>
    <cellStyle name="40% - Accent5" xfId="26" xr:uid="{CCF597D9-51D0-4F2B-8B39-A9219E225400}"/>
    <cellStyle name="40% - Accent6" xfId="27" xr:uid="{6BCBBE18-C8B0-48AB-858D-B561D9AC4A8B}"/>
    <cellStyle name="60% - Accent1" xfId="28" xr:uid="{F74AAFD7-E814-4255-A61D-F14E6F5DCB3D}"/>
    <cellStyle name="60% - Accent2" xfId="29" xr:uid="{C9ED3FF9-8E9C-424B-9E04-8E9F366D05D9}"/>
    <cellStyle name="60% - Accent3" xfId="30" xr:uid="{1A66EFA1-E76D-406D-AE71-C207EF015ADF}"/>
    <cellStyle name="60% - Accent4" xfId="31" xr:uid="{D85FFE73-612D-40BA-9E57-8EFD99AEEB05}"/>
    <cellStyle name="60% - Accent5" xfId="32" xr:uid="{17467FDB-F67D-4677-BC26-C948FC80207D}"/>
    <cellStyle name="60% - Accent6" xfId="33" xr:uid="{07C79D77-908A-4FCD-97C1-CF2C2009A7C7}"/>
    <cellStyle name="Accent1" xfId="39" xr:uid="{B5DB4979-6935-49D4-8FA6-FF34E4BE84D4}"/>
    <cellStyle name="Accent2" xfId="40" xr:uid="{E5DDD616-81D5-4027-A4B8-12539DACE1C8}"/>
    <cellStyle name="Accent3" xfId="41" xr:uid="{5D7E6850-9CAE-4F9C-8D6F-FE3B133F2A0E}"/>
    <cellStyle name="Accent4" xfId="42" xr:uid="{D3E93C67-A988-4496-96FC-AC97F8BD6180}"/>
    <cellStyle name="Accent5" xfId="43" xr:uid="{33ACA5A2-17E2-4DB8-B3B7-58903AC7AA30}"/>
    <cellStyle name="Accent6" xfId="44" xr:uid="{8E42BAA6-C73E-4518-B964-3B977B0D7E8B}"/>
    <cellStyle name="Bad" xfId="47" xr:uid="{E5808199-8EDE-49AB-AF21-31EB3C76391A}"/>
    <cellStyle name="Calculation" xfId="34" xr:uid="{9DEAC3DE-B3C4-441A-B7E0-29E68EAA930C}"/>
    <cellStyle name="Comma 2" xfId="35" xr:uid="{668B1C7D-A1B9-44CB-ABB3-66B827B4B46C}"/>
    <cellStyle name="Comma0" xfId="36" xr:uid="{7A59653B-3875-4D0E-8DC9-B792148AF16D}"/>
    <cellStyle name="Currency0" xfId="37" xr:uid="{9128C03B-7966-407F-A5EA-A432A881E836}"/>
    <cellStyle name="Date" xfId="38" xr:uid="{AFEA4365-64A3-4912-89F3-75EF0C4E6336}"/>
    <cellStyle name="Euro" xfId="45" xr:uid="{6DDCF0A2-3FFE-4FE7-B6BA-E7E85290B1F8}"/>
    <cellStyle name="Explanatory Text" xfId="58" xr:uid="{180893BE-51FF-44A8-8E9D-C642FB714751}"/>
    <cellStyle name="Fixed" xfId="46" xr:uid="{C492EA15-E579-4FE2-A96B-EDA3CEB106F0}"/>
    <cellStyle name="Heading 1" xfId="60" xr:uid="{8C1F914D-3E62-4890-8F93-4AFB5869B595}"/>
    <cellStyle name="Heading 2" xfId="61" xr:uid="{79D45D24-6795-4720-A1F8-39EEB7CD6276}"/>
    <cellStyle name="Heading 3" xfId="62" xr:uid="{4C317AF0-665C-477E-B8D0-ED3415C3DC4B}"/>
    <cellStyle name="Heading 4" xfId="63" xr:uid="{98A0E2C7-1789-4F9B-8B7F-A65497E9D053}"/>
    <cellStyle name="Moeda 2" xfId="48" xr:uid="{97C15CF5-46A8-4D91-A19A-B926B1E8AC7E}"/>
    <cellStyle name="Moeda 3" xfId="13" xr:uid="{AF36A16C-E3AD-4277-A305-36D364D5E7D8}"/>
    <cellStyle name="Moeda 3 2" xfId="49" xr:uid="{C9C5C328-599B-4556-8385-C8CFD665EA8F}"/>
    <cellStyle name="Moeda 3 3" xfId="65" xr:uid="{99396D79-E701-4185-8A1C-B29EB8CE2941}"/>
    <cellStyle name="Normal" xfId="0" builtinId="0"/>
    <cellStyle name="Normal 10" xfId="2" xr:uid="{74087675-F1DE-4B7D-90F5-70C8AFEDE115}"/>
    <cellStyle name="Normal 2" xfId="50" xr:uid="{16DC1108-4B2A-4631-8A85-A469916F2FD4}"/>
    <cellStyle name="Normal 2 2" xfId="4" xr:uid="{32A604B1-A193-4159-B1DC-953D9B603B57}"/>
    <cellStyle name="Normal 3" xfId="51" xr:uid="{047CDEC3-D2C9-455A-8907-FC8BD58A9E72}"/>
    <cellStyle name="Normal 4" xfId="52" xr:uid="{56EB15DB-7DF8-4CF8-BAF6-AD9E27E157C0}"/>
    <cellStyle name="Normal 5" xfId="53" xr:uid="{746AEE62-FA17-4443-9787-A3A81F545E45}"/>
    <cellStyle name="Normal 6" xfId="54" xr:uid="{0CA04EC9-8411-4748-B58D-31314931A183}"/>
    <cellStyle name="Normal 7" xfId="15" xr:uid="{C182D785-FAC1-4A79-99FB-2792145CBC3B}"/>
    <cellStyle name="normal_balanço patrimonial doc2 30.11.99" xfId="10" xr:uid="{9DEF476C-D957-4F35-8B16-169C95A968C3}"/>
    <cellStyle name="Normal_balanço patrimonial doc2 30.11.99_1" xfId="8" xr:uid="{D2622FBF-CF52-458D-BCC3-2F90C7317314}"/>
    <cellStyle name="Normal_balanço patrimonial doc2 30.11.99_1 2" xfId="11" xr:uid="{ADF652E6-D360-4571-AC44-64A120DDE078}"/>
    <cellStyle name="normal_bpAnalitico2s99_1" xfId="12" xr:uid="{5D1B775B-D6B8-4397-BDFD-14F92B3467DF}"/>
    <cellStyle name="Normal_DR2S1999" xfId="14" xr:uid="{E9E2C441-6ABE-4D45-8225-11B0D8AAF905}"/>
    <cellStyle name="Normal_Resultado 12.2006" xfId="7" xr:uid="{C9D78572-09CA-448D-A8C4-D3A9E4B84643}"/>
    <cellStyle name="Output" xfId="56" xr:uid="{BD1D2353-B02D-4037-822A-DAA993358C9E}"/>
    <cellStyle name="Porcentagem" xfId="1" builtinId="5"/>
    <cellStyle name="Porcentagem 2" xfId="55" xr:uid="{FA0E9F44-4C40-4008-9763-8FF3CFCC8812}"/>
    <cellStyle name="Separador de milhares 2" xfId="9" xr:uid="{9EFF0BC9-2AEC-49B4-BE6C-8E65292A4585}"/>
    <cellStyle name="Separador de milhares 2 2" xfId="57" xr:uid="{C8B32B5E-4157-4C3E-A94D-5B377ADC21FA}"/>
    <cellStyle name="Title" xfId="59" xr:uid="{BB4102E1-9DDF-44B1-8A92-AA26FF46A7DB}"/>
    <cellStyle name="Total 2" xfId="64" xr:uid="{B36832A0-3E84-4CC5-8154-7B6070B7FCF6}"/>
    <cellStyle name="Vírgula" xfId="67" builtinId="3"/>
    <cellStyle name="Vírgula 2" xfId="5" xr:uid="{3F8D44AF-B054-47D0-853D-B5518473A28E}"/>
    <cellStyle name="Vírgula 2 3" xfId="3" xr:uid="{DB044700-1A51-4FC6-A63A-08FDEF5086E9}"/>
    <cellStyle name="Vírgula 2 3 2" xfId="6" xr:uid="{277FF9CA-30AE-42FD-8A34-B8016AB185C6}"/>
    <cellStyle name="Vírgula 3" xfId="66" xr:uid="{C7927681-69D0-4659-B82C-13B0D84E594D}"/>
  </cellStyles>
  <dxfs count="70"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71" formatCode="0_);\(0\)"/>
      <fill>
        <patternFill patternType="solid">
          <fgColor indexed="64"/>
          <bgColor theme="8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71" formatCode="0_);\(0\)"/>
      <fill>
        <patternFill patternType="solid">
          <fgColor indexed="64"/>
          <bgColor theme="8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71" formatCode="0_);\(0\)"/>
      <fill>
        <patternFill patternType="solid">
          <fgColor indexed="64"/>
          <bgColor theme="8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8" tint="-0.499984740745262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bottom style="thick">
          <color rgb="FFFFFFFF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71" formatCode="0_);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scheme val="none"/>
      </font>
      <numFmt numFmtId="175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0"/>
        <name val="Verdana"/>
        <family val="2"/>
        <scheme val="none"/>
      </font>
      <fill>
        <patternFill patternType="solid">
          <fgColor indexed="64"/>
          <bgColor rgb="FF005086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FFFFFF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scheme val="none"/>
      </font>
      <numFmt numFmtId="175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ck">
          <color rgb="FFFFFFFF"/>
        </right>
        <top/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0"/>
        <name val="Verdana"/>
        <family val="2"/>
        <scheme val="none"/>
      </font>
      <fill>
        <patternFill patternType="solid">
          <fgColor indexed="64"/>
          <bgColor rgb="FF005086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FFFFFF"/>
        </left>
        <right style="thick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scheme val="none"/>
      </font>
      <numFmt numFmtId="175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ck">
          <color rgb="FFFFFFFF"/>
        </right>
        <top/>
        <bottom style="thick">
          <color rgb="FFFFFFFF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 style="thick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scheme val="none"/>
      </font>
      <numFmt numFmtId="175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ck">
          <color rgb="FFFFFFFF"/>
        </right>
        <top/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0"/>
        <name val="Verdana"/>
        <family val="2"/>
        <scheme val="none"/>
      </font>
      <fill>
        <patternFill patternType="solid">
          <fgColor indexed="64"/>
          <bgColor rgb="FF005086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FFFFFF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scheme val="none"/>
      </font>
      <numFmt numFmtId="175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ck">
          <color rgb="FFFFFFFF"/>
        </right>
        <top/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0"/>
        <name val="Verdana"/>
        <family val="2"/>
        <scheme val="none"/>
      </font>
      <fill>
        <patternFill patternType="solid">
          <fgColor indexed="64"/>
          <bgColor rgb="FF005086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FFFFFF"/>
        </left>
        <right style="thick">
          <color rgb="FFFFFFFF"/>
        </right>
        <top/>
        <bottom/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scheme val="none"/>
      </font>
      <fill>
        <patternFill patternType="solid">
          <fgColor indexed="64"/>
          <bgColor rgb="FF005086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FFFFFF"/>
        </left>
        <right style="thick">
          <color rgb="FFFFFFFF"/>
        </right>
        <top/>
        <bottom/>
      </border>
    </dxf>
    <dxf>
      <border outline="0">
        <right style="thick">
          <color rgb="FFFFFFFF"/>
        </right>
        <top style="thick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0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FFFFFF"/>
        </left>
        <right style="thick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FFFFFF"/>
        <name val="Verdana"/>
        <family val="2"/>
        <scheme val="none"/>
      </font>
      <fill>
        <patternFill patternType="solid">
          <fgColor indexed="64"/>
          <bgColor rgb="FF005086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rgb="FFFFFFFF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FFFFFF"/>
        <name val="Verdana"/>
        <family val="2"/>
        <scheme val="none"/>
      </font>
      <fill>
        <patternFill patternType="solid">
          <fgColor indexed="64"/>
          <bgColor rgb="FF005086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FFFFFF"/>
        </left>
        <right/>
        <top/>
        <bottom style="thick">
          <color rgb="FFFFFFFF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scheme val="none"/>
      </font>
      <fill>
        <patternFill patternType="solid">
          <fgColor indexed="64"/>
          <bgColor rgb="FF005086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ck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FFFFFF"/>
        <name val="Verdana"/>
        <family val="2"/>
        <scheme val="none"/>
      </font>
      <fill>
        <patternFill patternType="solid">
          <fgColor indexed="64"/>
          <bgColor rgb="FF005086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rgb="FFFFFFFF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FFFFFF"/>
        <name val="Verdana"/>
        <family val="2"/>
        <scheme val="none"/>
      </font>
      <fill>
        <patternFill patternType="solid">
          <fgColor indexed="64"/>
          <bgColor rgb="FF005086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FFFFFF"/>
        </left>
        <right/>
        <top/>
        <bottom style="thick">
          <color rgb="FFFFFFFF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FFFFFF"/>
        <name val="Verdana"/>
        <family val="2"/>
        <scheme val="none"/>
      </font>
      <fill>
        <patternFill patternType="solid">
          <fgColor indexed="64"/>
          <bgColor rgb="FF005086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FFFFFF"/>
        </left>
        <right style="thick">
          <color rgb="FFFFFFFF"/>
        </right>
        <top/>
        <bottom/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scheme val="none"/>
      </font>
      <fill>
        <patternFill patternType="solid">
          <fgColor indexed="64"/>
          <bgColor rgb="FF005086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ck">
          <color rgb="FFFFFFFF"/>
        </right>
        <top/>
        <bottom/>
      </border>
    </dxf>
    <dxf>
      <border outline="0">
        <left style="thick">
          <color rgb="FFFFFFFF"/>
        </left>
        <right style="thick">
          <color rgb="FFFFFFFF"/>
        </right>
        <top style="thick">
          <color rgb="FFFFFFFF"/>
        </top>
        <bottom style="thick">
          <color rgb="FFFFFFFF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scheme val="none"/>
      </font>
      <fill>
        <patternFill patternType="solid">
          <fgColor indexed="64"/>
          <bgColor rgb="FFE6F5FF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FFFFFF"/>
        <name val="Verdana"/>
        <family val="2"/>
        <scheme val="none"/>
      </font>
      <fill>
        <patternFill patternType="solid">
          <fgColor indexed="64"/>
          <bgColor rgb="FF005086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ck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scheme val="none"/>
      </font>
      <fill>
        <patternFill patternType="solid">
          <fgColor indexed="64"/>
          <bgColor rgb="FFE6F5FF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ck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ck">
          <color rgb="FFFFFFFF"/>
        </right>
        <top/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FFFFFF"/>
        <name val="Verdana"/>
        <family val="2"/>
        <scheme val="none"/>
      </font>
      <fill>
        <patternFill patternType="solid">
          <fgColor indexed="64"/>
          <bgColor rgb="FF005086"/>
        </patternFill>
      </fill>
      <alignment horizontal="right" vertical="center" textRotation="0" wrapText="1" indent="0" justifyLastLine="0" shrinkToFit="0" readingOrder="0"/>
      <border diagonalUp="0" diagonalDown="0" outline="0">
        <left style="thick">
          <color rgb="FFFFFFFF"/>
        </left>
        <right/>
        <top/>
        <bottom style="thick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scheme val="none"/>
      </font>
      <fill>
        <patternFill patternType="solid">
          <fgColor indexed="64"/>
          <bgColor rgb="FFE6F5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ck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ck">
          <color rgb="FFFFFFFF"/>
        </right>
        <top/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FFFFFF"/>
        <name val="Verdana"/>
        <family val="2"/>
        <scheme val="none"/>
      </font>
      <fill>
        <patternFill patternType="solid">
          <fgColor indexed="64"/>
          <bgColor rgb="FF005086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FFFFFF"/>
        </left>
        <right style="thick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scheme val="none"/>
      </font>
      <fill>
        <patternFill patternType="solid">
          <fgColor indexed="64"/>
          <bgColor rgb="FFE6F5FF"/>
        </patternFill>
      </fill>
      <alignment horizontal="general" vertical="center" textRotation="0" wrapText="1" indent="0" justifyLastLine="0" shrinkToFit="0" readingOrder="0"/>
      <border diagonalUp="0" diagonalDown="0" outline="0">
        <left style="thick">
          <color rgb="FFFFFFFF"/>
        </left>
        <right style="thick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ck">
          <color rgb="FFFFFFFF"/>
        </left>
        <right style="thick">
          <color rgb="FFFFFFFF"/>
        </right>
        <top/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FFFFFF"/>
        <name val="Verdana"/>
        <family val="2"/>
        <scheme val="none"/>
      </font>
      <fill>
        <patternFill patternType="solid">
          <fgColor indexed="64"/>
          <bgColor rgb="FF005086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FFFFFF"/>
        </left>
        <right style="thick">
          <color rgb="FFFFFFFF"/>
        </right>
        <top/>
        <bottom/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FFFFFF"/>
        <name val="Verdana"/>
        <family val="2"/>
        <scheme val="none"/>
      </font>
      <fill>
        <patternFill patternType="solid">
          <fgColor indexed="64"/>
          <bgColor rgb="FF005086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ck">
          <color rgb="FFFFFFFF"/>
        </right>
        <top/>
        <bottom style="thick">
          <color rgb="FFFFFFFF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FFFFFF"/>
        <name val="Verdana"/>
        <family val="2"/>
        <scheme val="none"/>
      </font>
      <fill>
        <patternFill patternType="solid">
          <fgColor indexed="64"/>
          <bgColor rgb="FF005086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FFFFFF"/>
        </left>
        <right/>
        <top/>
        <bottom style="thick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scheme val="none"/>
      </font>
      <fill>
        <patternFill patternType="solid">
          <fgColor indexed="64"/>
          <bgColor rgb="FFE6F5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ck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ck">
          <color rgb="FFFFFFFF"/>
        </right>
        <top/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FFFFFF"/>
        <name val="Verdana"/>
        <family val="2"/>
        <scheme val="none"/>
      </font>
      <fill>
        <patternFill patternType="solid">
          <fgColor indexed="64"/>
          <bgColor rgb="FF005086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FFFFFF"/>
        </left>
        <right style="thick">
          <color rgb="FFFFFFFF"/>
        </right>
        <top/>
        <bottom/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FFFFFF"/>
        <name val="Verdana"/>
        <family val="2"/>
        <scheme val="none"/>
      </font>
      <fill>
        <patternFill patternType="solid">
          <fgColor indexed="64"/>
          <bgColor rgb="FF005086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ck">
          <color rgb="FFFFFFFF"/>
        </right>
        <top/>
        <bottom/>
      </border>
    </dxf>
    <dxf>
      <fill>
        <patternFill patternType="none">
          <fgColor indexed="64"/>
          <bgColor auto="1"/>
        </patternFill>
      </fill>
    </dxf>
    <dxf>
      <border outline="0">
        <left style="thick">
          <color rgb="FFFFFFFF"/>
        </left>
        <right style="thick">
          <color rgb="FFFFFFFF"/>
        </right>
        <top style="thick">
          <color rgb="FFFFFFFF"/>
        </top>
        <bottom style="thick">
          <color rgb="FFFFFFFF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E6F5FF"/>
      <color rgb="FFF2F7FC"/>
      <color rgb="FFFFFFFF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AF522E-BEEB-4BB0-88A5-4BCB2EF8C7BE}" name="Tabela1" displayName="Tabela1" ref="A4:H24" headerRowCount="0" headerRowDxfId="69" dataDxfId="68" totalsRowDxfId="66" tableBorderDxfId="67">
  <tableColumns count="8">
    <tableColumn id="1" xr3:uid="{D78CF9A3-4C89-47BC-901E-CA764CDFA7C0}" name="Coluna1" totalsRowLabel="Total" headerRowDxfId="65" dataDxfId="64"/>
    <tableColumn id="2" xr3:uid="{2892CA1B-1729-4CE7-9921-7A5E44E344FD}" name="Coluna2" headerRowDxfId="63" dataDxfId="62" totalsRowDxfId="61"/>
    <tableColumn id="3" xr3:uid="{1A78B764-DCD3-40C6-A228-EECDAB50EF6D}" name="Coluna3" headerRowDxfId="60" dataDxfId="59"/>
    <tableColumn id="4" xr3:uid="{FFF1A677-59FE-49AC-B3F7-7D30F7FF3C01}" name="Coluna4" headerRowDxfId="58" dataDxfId="57"/>
    <tableColumn id="5" xr3:uid="{C9B4683C-E926-4B62-8A6A-8F8454F4DEBE}" name="Coluna5" headerRowDxfId="56" dataDxfId="55" totalsRowDxfId="54"/>
    <tableColumn id="6" xr3:uid="{C3CB288E-3767-4BDA-BE37-8DC486685F7C}" name="Coluna6" headerRowDxfId="53" dataDxfId="52" totalsRowDxfId="51"/>
    <tableColumn id="7" xr3:uid="{88320215-5D0B-44F7-8D68-D18800FD0723}" name="Coluna7" headerRowDxfId="50" dataDxfId="49" totalsRowDxfId="48"/>
    <tableColumn id="8" xr3:uid="{56CB9C24-E863-4285-8898-FA4C440DB11C}" name="Coluna8" totalsRowFunction="count" headerRowDxfId="47" dataDxfId="46" totalsRowDxfId="45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00080D3-E6B2-4C2B-AE81-C1241A783E68}" name="Tabela2" displayName="Tabela2" ref="A4:D39" headerRowCount="0" totalsRowShown="0" headerRowDxfId="44" dataDxfId="43" tableBorderDxfId="42">
  <tableColumns count="4">
    <tableColumn id="1" xr3:uid="{E697F02C-15D1-45B8-92E4-8894035F96D6}" name="Coluna1" headerRowDxfId="41" dataDxfId="40"/>
    <tableColumn id="2" xr3:uid="{90608025-D928-489F-B897-2D73ED73F4B9}" name="Coluna2" headerRowDxfId="39" dataDxfId="38"/>
    <tableColumn id="3" xr3:uid="{867E7D53-E0B8-4551-981C-E15F48AA45A0}" name="Coluna3" headerRowDxfId="37" dataDxfId="36"/>
    <tableColumn id="4" xr3:uid="{AE214068-0B78-4366-B4B0-AEA2A449C443}" name="Coluna4" headerRowDxfId="35" dataDxfId="34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446FB27-EDEC-4425-813C-8AA6CF608882}" name="Tabela26" displayName="Tabela26" ref="A4:C10" headerRowCount="0" totalsRowShown="0" headerRowDxfId="33" dataDxfId="32">
  <tableColumns count="3">
    <tableColumn id="1" xr3:uid="{AECEFB5C-85B1-466E-8B0D-1416CF378506}" name="Coluna1" headerRowDxfId="31" dataDxfId="30"/>
    <tableColumn id="3" xr3:uid="{5637B89E-F00D-42E8-9E64-31908D0B057B}" name="Coluna3" headerRowDxfId="29" dataDxfId="28"/>
    <tableColumn id="4" xr3:uid="{BBBA7B36-CA56-4845-9461-67451F4CF513}" name="Coluna4" headerRowDxfId="27" dataDxfId="26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BC85169-C921-4E4C-A485-9BC771635398}" name="Tabela3" displayName="Tabela3" ref="A4:F31" headerRowCount="0" totalsRowShown="0" headerRowDxfId="25" dataDxfId="24" tableBorderDxfId="23">
  <tableColumns count="6">
    <tableColumn id="1" xr3:uid="{61FD9F8F-87AB-4A54-A0A2-13CF8375BD83}" name="Coluna1" headerRowDxfId="22" dataDxfId="21"/>
    <tableColumn id="2" xr3:uid="{7FDF269E-298B-4843-ADE3-144A179224D5}" name="Coluna2" headerRowDxfId="20" dataDxfId="19"/>
    <tableColumn id="3" xr3:uid="{D8C9593C-B7D7-4BD3-973A-E159E34E7AC2}" name="Coluna3" headerRowDxfId="18" dataDxfId="17"/>
    <tableColumn id="4" xr3:uid="{82BBA63E-D484-4C60-9489-07BF6CD0D59D}" name="Coluna4" headerRowDxfId="16" dataDxfId="15"/>
    <tableColumn id="5" xr3:uid="{0DB44194-380D-41C0-A62C-3206D31EC374}" name="Coluna5" headerRowDxfId="14" dataDxfId="13"/>
    <tableColumn id="6" xr3:uid="{2CE44438-96BA-4EDC-BB0D-6AA63DC16049}" name="Coluna6" headerRowDxfId="12" dataDxfId="11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872818C-AACB-4B9D-83F2-FEC49BCF5DB0}" name="Tabela4" displayName="Tabela4" ref="A4:D47" headerRowCount="0" totalsRowShown="0" headerRowDxfId="10" dataDxfId="9" tableBorderDxfId="8" headerRowCellStyle="Normal_balanço patrimonial doc2 30.11.99_1 2">
  <tableColumns count="4">
    <tableColumn id="1" xr3:uid="{E29D7175-1879-40D8-B6DE-31AB5C5ECF34}" name="Coluna1" headerRowDxfId="7" dataDxfId="6" headerRowCellStyle="Normal_balanço patrimonial doc2 30.11.99_1 2"/>
    <tableColumn id="2" xr3:uid="{57663266-3178-4568-B27B-4E6312CFF0E1}" name="Coluna2" headerRowDxfId="5" dataDxfId="4" headerRowCellStyle="Normal_balanço patrimonial doc2 30.11.99_1 2"/>
    <tableColumn id="3" xr3:uid="{F7DDBBB6-0513-45C2-B1F1-876F8F802558}" name="Coluna3" headerRowDxfId="3" dataDxfId="2" headerRowCellStyle="Normal_balanço patrimonial doc2 30.11.99_1 2"/>
    <tableColumn id="4" xr3:uid="{5161D16D-BDBF-4F7F-BB96-2F7C36515AF3}" name="Coluna4" headerRowDxfId="1" dataDxfId="0" headerRowCellStyle="Normal_balanço patrimonial doc2 30.11.99_1 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CB963-6541-4A05-90BA-5A63CE1C3B15}">
  <dimension ref="A1:J26"/>
  <sheetViews>
    <sheetView tabSelected="1" zoomScaleNormal="100" zoomScaleSheetLayoutView="100" workbookViewId="0">
      <selection activeCell="A3" sqref="A3"/>
    </sheetView>
  </sheetViews>
  <sheetFormatPr defaultColWidth="26.1796875" defaultRowHeight="14.5"/>
  <cols>
    <col min="1" max="1" width="39.453125" customWidth="1"/>
    <col min="2" max="2" width="8.81640625" customWidth="1"/>
    <col min="3" max="4" width="9.81640625" bestFit="1" customWidth="1"/>
    <col min="5" max="5" width="36.54296875" customWidth="1"/>
    <col min="6" max="6" width="8.81640625" customWidth="1"/>
    <col min="7" max="8" width="11" bestFit="1" customWidth="1"/>
    <col min="9" max="9" width="8.1796875" customWidth="1"/>
  </cols>
  <sheetData>
    <row r="1" spans="1:8" s="3" customFormat="1" ht="15" customHeight="1">
      <c r="A1" s="190" t="s">
        <v>36</v>
      </c>
      <c r="B1" s="191"/>
    </row>
    <row r="2" spans="1:8" s="3" customFormat="1" ht="15" customHeight="1">
      <c r="A2" s="189" t="s">
        <v>234</v>
      </c>
      <c r="B2" s="191"/>
    </row>
    <row r="3" spans="1:8" s="3" customFormat="1" ht="15" customHeight="1" thickBot="1">
      <c r="A3" s="193" t="s">
        <v>39</v>
      </c>
      <c r="B3" s="191"/>
    </row>
    <row r="4" spans="1:8" ht="15.5" thickTop="1" thickBot="1">
      <c r="A4" s="209" t="s">
        <v>19</v>
      </c>
      <c r="B4" s="210" t="s">
        <v>20</v>
      </c>
      <c r="C4" s="211"/>
      <c r="D4" s="212"/>
      <c r="E4" s="210" t="s">
        <v>7</v>
      </c>
      <c r="F4" s="210" t="s">
        <v>20</v>
      </c>
      <c r="G4" s="213"/>
      <c r="H4" s="214"/>
    </row>
    <row r="5" spans="1:8" ht="22.15" customHeight="1" thickTop="1" thickBot="1">
      <c r="A5" s="215"/>
      <c r="B5" s="216"/>
      <c r="C5" s="215" t="s">
        <v>176</v>
      </c>
      <c r="D5" s="215" t="s">
        <v>21</v>
      </c>
      <c r="E5" s="216"/>
      <c r="F5" s="216"/>
      <c r="G5" s="217" t="s">
        <v>176</v>
      </c>
      <c r="H5" s="218" t="s">
        <v>21</v>
      </c>
    </row>
    <row r="6" spans="1:8" ht="19" thickTop="1" thickBot="1">
      <c r="A6" s="195" t="s">
        <v>22</v>
      </c>
      <c r="B6" s="196">
        <v>4</v>
      </c>
      <c r="C6" s="197">
        <v>48797</v>
      </c>
      <c r="D6" s="197">
        <f>Planilha5!E16+18799</f>
        <v>18803</v>
      </c>
      <c r="E6" s="198" t="s">
        <v>8</v>
      </c>
      <c r="F6" s="196"/>
      <c r="G6" s="197">
        <f>SUM(G7:G8)</f>
        <v>760971</v>
      </c>
      <c r="H6" s="200">
        <f>SUM(H7:H8)</f>
        <v>657850</v>
      </c>
    </row>
    <row r="7" spans="1:8" ht="15.5" thickTop="1" thickBot="1">
      <c r="A7" s="195" t="s">
        <v>0</v>
      </c>
      <c r="B7" s="199"/>
      <c r="C7" s="197">
        <f>SUM(C8:C9)</f>
        <v>1807585</v>
      </c>
      <c r="D7" s="197">
        <f>SUM(D8:D9)</f>
        <v>1731311</v>
      </c>
      <c r="E7" s="201" t="s">
        <v>199</v>
      </c>
      <c r="F7" s="196" t="s">
        <v>245</v>
      </c>
      <c r="G7" s="202">
        <v>613698</v>
      </c>
      <c r="H7" s="203">
        <f>Planilha5!K20+Planilha5!K40</f>
        <v>561189</v>
      </c>
    </row>
    <row r="8" spans="1:8" ht="15.5" thickTop="1" thickBot="1">
      <c r="A8" s="204" t="s">
        <v>23</v>
      </c>
      <c r="B8" s="196">
        <v>5</v>
      </c>
      <c r="C8" s="202">
        <v>366712</v>
      </c>
      <c r="D8" s="202">
        <f>Planilha5!E19+Planilha5!E41+Planilha5!E42-18799</f>
        <v>462733</v>
      </c>
      <c r="E8" s="201" t="s">
        <v>33</v>
      </c>
      <c r="F8" s="196" t="s">
        <v>246</v>
      </c>
      <c r="G8" s="202">
        <f>56+147217</f>
        <v>147273</v>
      </c>
      <c r="H8" s="203">
        <f>Planilha5!K16+Planilha5!K29+Planilha5!K47</f>
        <v>96661</v>
      </c>
    </row>
    <row r="9" spans="1:8" ht="15.5" thickTop="1" thickBot="1">
      <c r="A9" s="204" t="s">
        <v>24</v>
      </c>
      <c r="B9" s="196" t="s">
        <v>232</v>
      </c>
      <c r="C9" s="202">
        <v>1440873</v>
      </c>
      <c r="D9" s="202">
        <f>Planilha5!E23+Planilha5!E24+Planilha5!E45+Planilha5!E46</f>
        <v>1268578</v>
      </c>
      <c r="E9" s="198" t="s">
        <v>9</v>
      </c>
      <c r="F9" s="196">
        <v>15</v>
      </c>
      <c r="G9" s="197">
        <v>1807</v>
      </c>
      <c r="H9" s="200">
        <v>1614</v>
      </c>
    </row>
    <row r="10" spans="1:8" ht="19" thickTop="1" thickBot="1">
      <c r="A10" s="289" t="s">
        <v>239</v>
      </c>
      <c r="B10" s="196"/>
      <c r="C10" s="205">
        <f>SUM(C11:C12)</f>
        <v>-97821</v>
      </c>
      <c r="D10" s="205">
        <f>SUM(D11:D12)</f>
        <v>-83241</v>
      </c>
      <c r="E10" s="198" t="s">
        <v>10</v>
      </c>
      <c r="F10" s="196">
        <v>10</v>
      </c>
      <c r="G10" s="197">
        <v>38649</v>
      </c>
      <c r="H10" s="200">
        <f>Planilha5!K26+Planilha5!K27+Planilha5!K28+Planilha5!K30+Planilha5!K46+Planilha5!K48-H9</f>
        <v>20275</v>
      </c>
    </row>
    <row r="11" spans="1:8" ht="15.5" thickTop="1" thickBot="1">
      <c r="A11" s="204" t="s">
        <v>24</v>
      </c>
      <c r="B11" s="196" t="s">
        <v>238</v>
      </c>
      <c r="C11" s="206">
        <v>-97803</v>
      </c>
      <c r="D11" s="206">
        <f>Planilha5!E25+Planilha5!E47</f>
        <v>-83223</v>
      </c>
      <c r="E11" s="201"/>
      <c r="F11" s="199"/>
      <c r="G11" s="202"/>
      <c r="H11" s="203"/>
    </row>
    <row r="12" spans="1:8" ht="15.5" thickTop="1" thickBot="1">
      <c r="A12" s="204" t="s">
        <v>26</v>
      </c>
      <c r="B12" s="199"/>
      <c r="C12" s="206">
        <v>-18</v>
      </c>
      <c r="D12" s="206">
        <f>Planilha5!E31+Planilha5!E52</f>
        <v>-18</v>
      </c>
      <c r="E12" s="201"/>
      <c r="F12" s="199"/>
      <c r="G12" s="202"/>
      <c r="H12" s="203"/>
    </row>
    <row r="13" spans="1:8" ht="15.5" thickTop="1" thickBot="1">
      <c r="A13" s="198" t="s">
        <v>1</v>
      </c>
      <c r="B13" s="196" t="s">
        <v>253</v>
      </c>
      <c r="C13" s="197">
        <v>57288</v>
      </c>
      <c r="D13" s="200">
        <f>Planilha5!E50+Planilha5!E28</f>
        <v>52904</v>
      </c>
      <c r="E13" s="201"/>
      <c r="F13" s="199"/>
      <c r="G13" s="202"/>
      <c r="H13" s="203"/>
    </row>
    <row r="14" spans="1:8" ht="15.5" thickTop="1" thickBot="1">
      <c r="A14" s="195" t="s">
        <v>6</v>
      </c>
      <c r="B14" s="199"/>
      <c r="C14" s="197">
        <f>+C15+C16</f>
        <v>90888</v>
      </c>
      <c r="D14" s="197">
        <f>+D15+D16</f>
        <v>48404</v>
      </c>
      <c r="E14" s="201"/>
      <c r="F14" s="199"/>
      <c r="G14" s="202"/>
      <c r="H14" s="203"/>
    </row>
    <row r="15" spans="1:8" ht="15.5" thickTop="1" thickBot="1">
      <c r="A15" s="204" t="s">
        <v>27</v>
      </c>
      <c r="B15" s="288" t="s">
        <v>241</v>
      </c>
      <c r="C15" s="202">
        <v>46144</v>
      </c>
      <c r="D15" s="202">
        <f>Planilha5!E33</f>
        <v>44616</v>
      </c>
      <c r="E15" s="201"/>
      <c r="F15" s="199"/>
      <c r="G15" s="202"/>
      <c r="H15" s="203"/>
    </row>
    <row r="16" spans="1:8" ht="15.5" thickTop="1" thickBot="1">
      <c r="A16" s="204" t="s">
        <v>26</v>
      </c>
      <c r="B16" s="288" t="s">
        <v>242</v>
      </c>
      <c r="C16" s="202">
        <v>44744</v>
      </c>
      <c r="D16" s="202">
        <f>Planilha5!E29+Planilha5!E30+Planilha5!E51</f>
        <v>3788</v>
      </c>
      <c r="E16" s="201"/>
      <c r="F16" s="199"/>
      <c r="G16" s="202"/>
      <c r="H16" s="203"/>
    </row>
    <row r="17" spans="1:10" ht="15.5" thickTop="1" thickBot="1">
      <c r="A17" s="195" t="s">
        <v>2</v>
      </c>
      <c r="B17" s="196" t="s">
        <v>243</v>
      </c>
      <c r="C17" s="197">
        <v>33718</v>
      </c>
      <c r="D17" s="197">
        <f>Planilha5!E57+Planilha5!E58</f>
        <v>33642</v>
      </c>
      <c r="E17" s="201"/>
      <c r="F17" s="199"/>
      <c r="G17" s="202"/>
      <c r="H17" s="203"/>
    </row>
    <row r="18" spans="1:10" ht="15.5" thickTop="1" thickBot="1">
      <c r="A18" s="195" t="s">
        <v>3</v>
      </c>
      <c r="B18" s="196" t="s">
        <v>244</v>
      </c>
      <c r="C18" s="197">
        <v>5444</v>
      </c>
      <c r="D18" s="197">
        <f>Planilha5!E62</f>
        <v>5444</v>
      </c>
      <c r="E18" s="198" t="s">
        <v>12</v>
      </c>
      <c r="F18" s="207"/>
      <c r="G18" s="197">
        <f>G19+G20</f>
        <v>1136079</v>
      </c>
      <c r="H18" s="200">
        <f>DMPL!F21</f>
        <v>1122419</v>
      </c>
      <c r="J18" s="287"/>
    </row>
    <row r="19" spans="1:10" ht="15.5" thickTop="1" thickBot="1">
      <c r="A19" s="195" t="s">
        <v>28</v>
      </c>
      <c r="B19" s="199"/>
      <c r="C19" s="205">
        <f>C20+C21</f>
        <v>-5538</v>
      </c>
      <c r="D19" s="205">
        <f>D20+D21</f>
        <v>-5109</v>
      </c>
      <c r="E19" s="201" t="s">
        <v>34</v>
      </c>
      <c r="F19" s="196">
        <v>11</v>
      </c>
      <c r="G19" s="202">
        <f>DMPL!B29</f>
        <v>1041977</v>
      </c>
      <c r="H19" s="203">
        <f>Planilha5!K55</f>
        <v>1041977</v>
      </c>
    </row>
    <row r="20" spans="1:10" ht="15.5" thickTop="1" thickBot="1">
      <c r="A20" s="204" t="s">
        <v>29</v>
      </c>
      <c r="B20" s="196"/>
      <c r="C20" s="206">
        <v>-3146</v>
      </c>
      <c r="D20" s="206">
        <f>Planilha5!E59</f>
        <v>-2848</v>
      </c>
      <c r="E20" s="201" t="s">
        <v>35</v>
      </c>
      <c r="F20" s="196"/>
      <c r="G20" s="202">
        <f>DMPL!C29+DMPL!D29</f>
        <v>94102</v>
      </c>
      <c r="H20" s="203">
        <f>Planilha5!K57</f>
        <v>80442</v>
      </c>
    </row>
    <row r="21" spans="1:10" ht="15.5" thickTop="1" thickBot="1">
      <c r="A21" s="204" t="s">
        <v>30</v>
      </c>
      <c r="B21" s="196"/>
      <c r="C21" s="206">
        <v>-2392</v>
      </c>
      <c r="D21" s="206">
        <f>Planilha5!E63</f>
        <v>-2261</v>
      </c>
      <c r="E21" s="292"/>
      <c r="F21" s="196"/>
      <c r="G21" s="202"/>
      <c r="H21" s="203"/>
    </row>
    <row r="22" spans="1:10" ht="19" thickTop="1" thickBot="1">
      <c r="A22" s="195" t="s">
        <v>31</v>
      </c>
      <c r="B22" s="196" t="s">
        <v>240</v>
      </c>
      <c r="C22" s="205">
        <v>-2855</v>
      </c>
      <c r="D22" s="205">
        <v>0</v>
      </c>
      <c r="E22" s="201"/>
      <c r="F22" s="196"/>
      <c r="G22" s="202"/>
      <c r="H22" s="208"/>
    </row>
    <row r="23" spans="1:10" ht="15" thickTop="1">
      <c r="A23" s="219" t="s">
        <v>32</v>
      </c>
      <c r="B23" s="220"/>
      <c r="C23" s="221">
        <f>C6+C7+C10+C13+C14+C17+C18+C19+C22</f>
        <v>1937506</v>
      </c>
      <c r="D23" s="221">
        <f>D22+D19+D14+D7+D6+D10+D17+D18+D13</f>
        <v>1802158</v>
      </c>
      <c r="E23" s="222" t="s">
        <v>11</v>
      </c>
      <c r="F23" s="220"/>
      <c r="G23" s="221">
        <f>G18+G10+G9+G6</f>
        <v>1937506</v>
      </c>
      <c r="H23" s="223">
        <f>H18+H10+H9+H6</f>
        <v>1802158</v>
      </c>
    </row>
    <row r="24" spans="1:10">
      <c r="A24" s="278" t="s">
        <v>90</v>
      </c>
      <c r="B24" s="279"/>
      <c r="C24" s="280"/>
      <c r="D24" s="280"/>
      <c r="E24" s="281"/>
      <c r="F24" s="279"/>
      <c r="G24" s="282"/>
      <c r="H24" s="283"/>
    </row>
    <row r="26" spans="1:10">
      <c r="E26" s="293"/>
    </row>
  </sheetData>
  <pageMargins left="0.51181102362204722" right="0.51181102362204722" top="0.78740157480314965" bottom="0.78740157480314965" header="0.31496062992125984" footer="0.31496062992125984"/>
  <pageSetup paperSize="9" firstPageNumber="28" orientation="landscape" useFirstPageNumber="1" r:id="rId1"/>
  <headerFooter>
    <oddFooter>&amp;R&amp;P</oddFoot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3A5EA-0BB1-44C8-B39A-DC47D1DFF040}">
  <sheetPr>
    <pageSetUpPr fitToPage="1"/>
  </sheetPr>
  <dimension ref="A1:AY39"/>
  <sheetViews>
    <sheetView showGridLines="0" zoomScaleNormal="100" zoomScaleSheetLayoutView="100" workbookViewId="0">
      <selection activeCell="F10" sqref="F10"/>
    </sheetView>
  </sheetViews>
  <sheetFormatPr defaultColWidth="9.26953125" defaultRowHeight="15" customHeight="1"/>
  <cols>
    <col min="1" max="1" width="58.26953125" style="3" customWidth="1"/>
    <col min="2" max="2" width="8.81640625" style="3" customWidth="1"/>
    <col min="3" max="4" width="12.26953125" style="3" bestFit="1" customWidth="1"/>
    <col min="5" max="16384" width="9.26953125" style="3"/>
  </cols>
  <sheetData>
    <row r="1" spans="1:6" ht="15" customHeight="1">
      <c r="A1" s="190" t="s">
        <v>36</v>
      </c>
      <c r="B1" s="191"/>
    </row>
    <row r="2" spans="1:6" ht="15" customHeight="1">
      <c r="A2" s="189" t="s">
        <v>254</v>
      </c>
      <c r="B2" s="277"/>
      <c r="C2" s="277"/>
      <c r="D2" s="277"/>
    </row>
    <row r="3" spans="1:6" ht="15" customHeight="1" thickBot="1">
      <c r="A3" s="193" t="s">
        <v>39</v>
      </c>
      <c r="B3" s="191"/>
    </row>
    <row r="4" spans="1:6" s="2" customFormat="1" ht="15" customHeight="1" thickTop="1" thickBot="1">
      <c r="A4" s="246"/>
      <c r="B4" s="247" t="s">
        <v>41</v>
      </c>
      <c r="C4" s="246" t="s">
        <v>176</v>
      </c>
      <c r="D4" s="248" t="s">
        <v>198</v>
      </c>
    </row>
    <row r="5" spans="1:6" s="1" customFormat="1" ht="15" customHeight="1" thickTop="1" thickBot="1">
      <c r="A5" s="228" t="s">
        <v>15</v>
      </c>
      <c r="B5" s="227"/>
      <c r="C5" s="229">
        <f>SUM(C6:C7)</f>
        <v>88135</v>
      </c>
      <c r="D5" s="230">
        <f>SUM(D6:D7)</f>
        <v>92188</v>
      </c>
    </row>
    <row r="6" spans="1:6" s="1" customFormat="1" ht="15" customHeight="1" thickTop="1" thickBot="1">
      <c r="A6" s="231" t="s">
        <v>177</v>
      </c>
      <c r="B6" s="232" t="s">
        <v>231</v>
      </c>
      <c r="C6" s="233">
        <v>69551</v>
      </c>
      <c r="D6" s="234">
        <f>Planilha6!E16</f>
        <v>70709</v>
      </c>
    </row>
    <row r="7" spans="1:6" s="1" customFormat="1" ht="15" customHeight="1" thickTop="1" thickBot="1">
      <c r="A7" s="235" t="s">
        <v>178</v>
      </c>
      <c r="B7" s="232"/>
      <c r="C7" s="233">
        <v>18584</v>
      </c>
      <c r="D7" s="234">
        <f>Planilha6!E17</f>
        <v>21479</v>
      </c>
    </row>
    <row r="8" spans="1:6" s="1" customFormat="1" ht="15" customHeight="1" thickTop="1" thickBot="1">
      <c r="A8" s="228" t="s">
        <v>16</v>
      </c>
      <c r="B8" s="227"/>
      <c r="C8" s="236">
        <f>SUM(C9:C10)</f>
        <v>-33947</v>
      </c>
      <c r="D8" s="237">
        <f>SUM(D9:D10)</f>
        <v>-42841</v>
      </c>
    </row>
    <row r="9" spans="1:6" s="1" customFormat="1" ht="15" customHeight="1" thickTop="1" thickBot="1">
      <c r="A9" s="231" t="s">
        <v>179</v>
      </c>
      <c r="B9" s="232"/>
      <c r="C9" s="238">
        <v>-16489</v>
      </c>
      <c r="D9" s="239">
        <f>Planilha6!E20</f>
        <v>-23680</v>
      </c>
    </row>
    <row r="10" spans="1:6" s="1" customFormat="1" ht="15" customHeight="1" thickTop="1" thickBot="1">
      <c r="A10" s="231" t="s">
        <v>180</v>
      </c>
      <c r="B10" s="232"/>
      <c r="C10" s="238">
        <v>-17458</v>
      </c>
      <c r="D10" s="239">
        <f>Planilha6!E21</f>
        <v>-19161</v>
      </c>
    </row>
    <row r="11" spans="1:6" s="2" customFormat="1" ht="15" customHeight="1" thickTop="1" thickBot="1">
      <c r="A11" s="231"/>
      <c r="B11" s="232"/>
      <c r="C11" s="240"/>
      <c r="D11" s="241"/>
    </row>
    <row r="12" spans="1:6" s="1" customFormat="1" ht="15" customHeight="1" thickTop="1" thickBot="1">
      <c r="A12" s="228" t="s">
        <v>17</v>
      </c>
      <c r="B12" s="227"/>
      <c r="C12" s="229">
        <f>C5+C8</f>
        <v>54188</v>
      </c>
      <c r="D12" s="230">
        <f>D5+D8</f>
        <v>49347</v>
      </c>
      <c r="F12" s="284"/>
    </row>
    <row r="13" spans="1:6" s="1" customFormat="1" ht="12.5" thickTop="1" thickBot="1">
      <c r="A13" s="231"/>
      <c r="B13" s="232"/>
      <c r="C13" s="240"/>
      <c r="D13" s="241"/>
    </row>
    <row r="14" spans="1:6" s="2" customFormat="1" ht="26.25" customHeight="1" thickTop="1" thickBot="1">
      <c r="A14" s="228" t="s">
        <v>181</v>
      </c>
      <c r="B14" s="227"/>
      <c r="C14" s="236">
        <f>SUM(C15:C20)</f>
        <v>-21909</v>
      </c>
      <c r="D14" s="237">
        <f>SUM(D15:D20)</f>
        <v>-22603</v>
      </c>
    </row>
    <row r="15" spans="1:6" s="2" customFormat="1" ht="15" customHeight="1" thickTop="1" thickBot="1">
      <c r="A15" s="231" t="s">
        <v>182</v>
      </c>
      <c r="B15" s="232" t="s">
        <v>247</v>
      </c>
      <c r="C15" s="238">
        <v>14101</v>
      </c>
      <c r="D15" s="239">
        <f>Planilha6!E26+Planilha6!E27</f>
        <v>6221</v>
      </c>
    </row>
    <row r="16" spans="1:6" s="1" customFormat="1" ht="15" customHeight="1" thickTop="1" thickBot="1">
      <c r="A16" s="231" t="s">
        <v>183</v>
      </c>
      <c r="B16" s="232" t="s">
        <v>233</v>
      </c>
      <c r="C16" s="238">
        <v>-22531</v>
      </c>
      <c r="D16" s="239">
        <f>Planilha6!E28</f>
        <v>-18217</v>
      </c>
    </row>
    <row r="17" spans="1:51" s="1" customFormat="1" ht="15" customHeight="1" thickTop="1" thickBot="1">
      <c r="A17" s="231" t="s">
        <v>184</v>
      </c>
      <c r="B17" s="232" t="s">
        <v>248</v>
      </c>
      <c r="C17" s="238">
        <v>-9426</v>
      </c>
      <c r="D17" s="239">
        <f>Planilha6!E29</f>
        <v>-7373</v>
      </c>
    </row>
    <row r="18" spans="1:51" s="2" customFormat="1" ht="15" customHeight="1" thickTop="1" thickBot="1">
      <c r="A18" s="231" t="s">
        <v>185</v>
      </c>
      <c r="B18" s="232" t="s">
        <v>249</v>
      </c>
      <c r="C18" s="238">
        <v>-4714</v>
      </c>
      <c r="D18" s="239">
        <f>Planilha6!E30</f>
        <v>-3914</v>
      </c>
    </row>
    <row r="19" spans="1:51" s="2" customFormat="1" ht="15" customHeight="1" thickTop="1" thickBot="1">
      <c r="A19" s="231" t="s">
        <v>186</v>
      </c>
      <c r="B19" s="232"/>
      <c r="C19" s="238">
        <v>666</v>
      </c>
      <c r="D19" s="239">
        <f>Planilha6!E31</f>
        <v>896</v>
      </c>
    </row>
    <row r="20" spans="1:51" s="1" customFormat="1" ht="15" customHeight="1" thickTop="1" thickBot="1">
      <c r="A20" s="231" t="s">
        <v>187</v>
      </c>
      <c r="B20" s="232"/>
      <c r="C20" s="238">
        <f>-948-C23-C24</f>
        <v>-5</v>
      </c>
      <c r="D20" s="239">
        <f>Planilha6!E32-D23-D24</f>
        <v>-216</v>
      </c>
    </row>
    <row r="21" spans="1:51" s="1" customFormat="1" ht="15" customHeight="1" thickTop="1" thickBot="1">
      <c r="A21" s="228"/>
      <c r="B21" s="232"/>
      <c r="C21" s="240"/>
      <c r="D21" s="241"/>
    </row>
    <row r="22" spans="1:51" s="1" customFormat="1" ht="15" customHeight="1" thickTop="1" thickBot="1">
      <c r="A22" s="228" t="s">
        <v>188</v>
      </c>
      <c r="B22" s="227"/>
      <c r="C22" s="236">
        <f>SUM(C23:C24)</f>
        <v>-943</v>
      </c>
      <c r="D22" s="237">
        <f>SUM(D23:D24)</f>
        <v>-1</v>
      </c>
    </row>
    <row r="23" spans="1:51" s="1" customFormat="1" ht="15" customHeight="1" thickTop="1" thickBot="1">
      <c r="A23" s="231" t="s">
        <v>189</v>
      </c>
      <c r="B23" s="227"/>
      <c r="C23" s="238">
        <v>-184</v>
      </c>
      <c r="D23" s="239">
        <v>-1</v>
      </c>
    </row>
    <row r="24" spans="1:51" s="1" customFormat="1" ht="15" customHeight="1" thickTop="1" thickBot="1">
      <c r="A24" s="231" t="s">
        <v>190</v>
      </c>
      <c r="B24" s="227"/>
      <c r="C24" s="238">
        <v>-759</v>
      </c>
      <c r="D24" s="239">
        <v>0</v>
      </c>
    </row>
    <row r="25" spans="1:51" s="1" customFormat="1" ht="15" customHeight="1" thickTop="1" thickBot="1">
      <c r="A25" s="228"/>
      <c r="B25" s="232"/>
      <c r="C25" s="240"/>
      <c r="D25" s="241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B25" s="286"/>
      <c r="AC25" s="286"/>
      <c r="AD25" s="286"/>
      <c r="AE25" s="286"/>
      <c r="AF25" s="286"/>
      <c r="AG25" s="286"/>
      <c r="AH25" s="286"/>
      <c r="AI25" s="286"/>
      <c r="AJ25" s="286"/>
      <c r="AK25" s="286"/>
      <c r="AL25" s="286"/>
      <c r="AM25" s="286"/>
      <c r="AN25" s="286"/>
      <c r="AO25" s="286"/>
      <c r="AP25" s="286"/>
      <c r="AQ25" s="286"/>
      <c r="AR25" s="286"/>
      <c r="AS25" s="286"/>
      <c r="AT25" s="286"/>
      <c r="AU25" s="286"/>
      <c r="AV25" s="286"/>
      <c r="AW25" s="286"/>
      <c r="AX25" s="286"/>
      <c r="AY25" s="286"/>
    </row>
    <row r="26" spans="1:51" s="285" customFormat="1" ht="15" customHeight="1" thickTop="1" thickBot="1">
      <c r="A26" s="228" t="s">
        <v>18</v>
      </c>
      <c r="B26" s="227"/>
      <c r="C26" s="236">
        <f>C12+C14+C22</f>
        <v>31336</v>
      </c>
      <c r="D26" s="237">
        <f>D12+D14+D22</f>
        <v>26743</v>
      </c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6"/>
      <c r="Y26" s="286"/>
      <c r="Z26" s="286"/>
      <c r="AA26" s="286"/>
      <c r="AB26" s="286"/>
      <c r="AC26" s="286"/>
      <c r="AD26" s="286"/>
      <c r="AE26" s="286"/>
      <c r="AF26" s="286"/>
      <c r="AG26" s="286"/>
      <c r="AH26" s="286"/>
      <c r="AI26" s="286"/>
      <c r="AJ26" s="286"/>
      <c r="AK26" s="286"/>
      <c r="AL26" s="286"/>
      <c r="AM26" s="286"/>
      <c r="AN26" s="286"/>
      <c r="AO26" s="286"/>
      <c r="AP26" s="286"/>
      <c r="AQ26" s="286"/>
      <c r="AR26" s="286"/>
      <c r="AS26" s="286"/>
      <c r="AT26" s="286"/>
      <c r="AU26" s="286"/>
      <c r="AV26" s="286"/>
      <c r="AW26" s="286"/>
      <c r="AX26" s="286"/>
      <c r="AY26" s="286"/>
    </row>
    <row r="27" spans="1:51" s="1" customFormat="1" ht="15" customHeight="1" thickTop="1" thickBot="1">
      <c r="A27" s="228"/>
      <c r="B27" s="232"/>
      <c r="C27" s="240"/>
      <c r="D27" s="241"/>
    </row>
    <row r="28" spans="1:51" s="2" customFormat="1" ht="15" customHeight="1" thickTop="1" thickBot="1">
      <c r="A28" s="228" t="s">
        <v>191</v>
      </c>
      <c r="B28" s="232"/>
      <c r="C28" s="236">
        <v>-2103</v>
      </c>
      <c r="D28" s="237">
        <f>Planilha6!E36</f>
        <v>11</v>
      </c>
    </row>
    <row r="29" spans="1:51" s="2" customFormat="1" ht="15" customHeight="1" thickTop="1" thickBot="1">
      <c r="A29" s="228"/>
      <c r="B29" s="232"/>
      <c r="C29" s="240"/>
      <c r="D29" s="241"/>
    </row>
    <row r="30" spans="1:51" s="2" customFormat="1" ht="15" customHeight="1" thickTop="1" thickBot="1">
      <c r="A30" s="228" t="s">
        <v>192</v>
      </c>
      <c r="B30" s="227"/>
      <c r="C30" s="229">
        <f>C26+C28</f>
        <v>29233</v>
      </c>
      <c r="D30" s="230">
        <f>D26+D28</f>
        <v>26754</v>
      </c>
    </row>
    <row r="31" spans="1:51" s="1" customFormat="1" ht="15" customHeight="1" thickTop="1" thickBot="1">
      <c r="A31" s="231"/>
      <c r="B31" s="232"/>
      <c r="C31" s="240"/>
      <c r="D31" s="241"/>
    </row>
    <row r="32" spans="1:51" s="1" customFormat="1" ht="15" customHeight="1" thickTop="1" thickBot="1">
      <c r="A32" s="228" t="s">
        <v>193</v>
      </c>
      <c r="B32" s="232">
        <v>13</v>
      </c>
      <c r="C32" s="236">
        <v>-10075</v>
      </c>
      <c r="D32" s="237">
        <f>Planilha6!E40</f>
        <v>-6633</v>
      </c>
      <c r="F32" s="284"/>
    </row>
    <row r="33" spans="1:6" s="1" customFormat="1" ht="17.5" customHeight="1" thickTop="1" thickBot="1">
      <c r="A33" s="231"/>
      <c r="B33" s="232"/>
      <c r="C33" s="240"/>
      <c r="D33" s="241"/>
    </row>
    <row r="34" spans="1:6" ht="15" customHeight="1" thickTop="1" thickBot="1">
      <c r="A34" s="228" t="s">
        <v>194</v>
      </c>
      <c r="B34" s="227"/>
      <c r="C34" s="236">
        <v>-1243</v>
      </c>
      <c r="D34" s="237">
        <f>Planilha6!E45</f>
        <v>-1203</v>
      </c>
    </row>
    <row r="35" spans="1:6" ht="15" customHeight="1" thickTop="1" thickBot="1">
      <c r="A35" s="228"/>
      <c r="B35" s="232"/>
      <c r="C35" s="240"/>
      <c r="D35" s="241"/>
    </row>
    <row r="36" spans="1:6" ht="15" customHeight="1" thickTop="1" thickBot="1">
      <c r="A36" s="242" t="s">
        <v>195</v>
      </c>
      <c r="B36" s="243"/>
      <c r="C36" s="244">
        <f>C30+C32+C34</f>
        <v>17915</v>
      </c>
      <c r="D36" s="245">
        <f>D30+D32+D34</f>
        <v>18918</v>
      </c>
      <c r="F36" s="284"/>
    </row>
    <row r="37" spans="1:6" ht="15" customHeight="1" thickTop="1" thickBot="1">
      <c r="A37" s="242" t="s">
        <v>196</v>
      </c>
      <c r="B37" s="246"/>
      <c r="C37" s="244">
        <v>1000000000</v>
      </c>
      <c r="D37" s="245">
        <v>1000000000</v>
      </c>
    </row>
    <row r="38" spans="1:6" ht="15" customHeight="1" thickTop="1" thickBot="1">
      <c r="A38" s="242" t="s">
        <v>197</v>
      </c>
      <c r="B38" s="246"/>
      <c r="C38" s="312">
        <f>C36/C37*1000</f>
        <v>1.7915E-2</v>
      </c>
      <c r="D38" s="313">
        <f>D36/D37*1000</f>
        <v>1.8918000000000001E-2</v>
      </c>
    </row>
    <row r="39" spans="1:6" ht="15" customHeight="1" thickTop="1">
      <c r="A39" s="276" t="s">
        <v>90</v>
      </c>
      <c r="B39" s="277"/>
      <c r="C39" s="277"/>
      <c r="D39" s="277"/>
    </row>
  </sheetData>
  <pageMargins left="0.51181102362204722" right="0.39370078740157483" top="0.78740157480314965" bottom="0" header="0" footer="0.39370078740157483"/>
  <pageSetup paperSize="9" orientation="portrait" r:id="rId1"/>
  <headerFoot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46B04-1D66-48E3-9C4B-1189C965B22E}">
  <sheetPr>
    <pageSetUpPr fitToPage="1"/>
  </sheetPr>
  <dimension ref="A1:D10"/>
  <sheetViews>
    <sheetView showGridLines="0" zoomScaleNormal="100" zoomScaleSheetLayoutView="100" workbookViewId="0">
      <selection activeCell="G9" sqref="G9"/>
    </sheetView>
  </sheetViews>
  <sheetFormatPr defaultColWidth="9.453125" defaultRowHeight="15" customHeight="1"/>
  <cols>
    <col min="1" max="1" width="58.1796875" style="3" customWidth="1"/>
    <col min="2" max="2" width="12.453125" style="3" bestFit="1" customWidth="1"/>
    <col min="3" max="3" width="12.453125" style="3" customWidth="1"/>
    <col min="4" max="16384" width="9.453125" style="3"/>
  </cols>
  <sheetData>
    <row r="1" spans="1:4" ht="15" customHeight="1">
      <c r="A1" s="290" t="s">
        <v>36</v>
      </c>
    </row>
    <row r="2" spans="1:4" ht="15" customHeight="1">
      <c r="A2" s="192" t="s">
        <v>255</v>
      </c>
    </row>
    <row r="3" spans="1:4" ht="15" customHeight="1">
      <c r="A3" s="291" t="s">
        <v>39</v>
      </c>
    </row>
    <row r="4" spans="1:4" s="2" customFormat="1" ht="15" customHeight="1">
      <c r="A4" s="297"/>
      <c r="B4" s="297" t="s">
        <v>176</v>
      </c>
      <c r="C4" s="297" t="s">
        <v>198</v>
      </c>
      <c r="D4" s="306"/>
    </row>
    <row r="5" spans="1:4" s="1" customFormat="1" ht="15" customHeight="1">
      <c r="A5" s="298" t="s">
        <v>250</v>
      </c>
      <c r="B5" s="299">
        <v>17915</v>
      </c>
      <c r="C5" s="299">
        <v>18918</v>
      </c>
      <c r="D5" s="307"/>
    </row>
    <row r="6" spans="1:4" s="1" customFormat="1" ht="15" customHeight="1">
      <c r="A6" s="300"/>
      <c r="B6" s="301"/>
      <c r="C6" s="301"/>
      <c r="D6" s="307"/>
    </row>
    <row r="7" spans="1:4" s="1" customFormat="1" ht="15" customHeight="1">
      <c r="A7" s="298" t="s">
        <v>251</v>
      </c>
      <c r="B7" s="302">
        <f>SUM(B8:B8)</f>
        <v>0</v>
      </c>
      <c r="C7" s="302">
        <f>SUM(C8:C8)</f>
        <v>0</v>
      </c>
      <c r="D7" s="307"/>
    </row>
    <row r="8" spans="1:4" s="1" customFormat="1" ht="15" customHeight="1">
      <c r="A8" s="303"/>
      <c r="B8" s="301"/>
      <c r="C8" s="301"/>
      <c r="D8" s="307"/>
    </row>
    <row r="9" spans="1:4" ht="15" customHeight="1">
      <c r="A9" s="304" t="s">
        <v>252</v>
      </c>
      <c r="B9" s="305">
        <f>B5+B7</f>
        <v>17915</v>
      </c>
      <c r="C9" s="305">
        <f>C5+C7</f>
        <v>18918</v>
      </c>
      <c r="D9" s="308"/>
    </row>
    <row r="10" spans="1:4" ht="15" customHeight="1">
      <c r="A10" s="309" t="s">
        <v>90</v>
      </c>
      <c r="B10" s="310"/>
      <c r="C10" s="310"/>
      <c r="D10" s="308"/>
    </row>
  </sheetData>
  <printOptions horizontalCentered="1"/>
  <pageMargins left="0" right="0" top="0.78740157480314965" bottom="0" header="0" footer="0.39370078740157483"/>
  <pageSetup paperSize="9" orientation="portrait" r:id="rId1"/>
  <headerFooter alignWithMargins="0">
    <oddFooter>&amp;R&amp;P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862A9-067E-4ED7-921A-0F66556AD7DD}">
  <sheetPr>
    <pageSetUpPr fitToPage="1"/>
  </sheetPr>
  <dimension ref="A1:I32"/>
  <sheetViews>
    <sheetView showGridLines="0" zoomScaleNormal="100" workbookViewId="0">
      <selection activeCell="A3" sqref="A3"/>
    </sheetView>
  </sheetViews>
  <sheetFormatPr defaultColWidth="9.1796875" defaultRowHeight="12.5"/>
  <cols>
    <col min="1" max="1" width="28.54296875" style="8" customWidth="1"/>
    <col min="2" max="2" width="10.26953125" style="88" customWidth="1"/>
    <col min="3" max="3" width="9.81640625" style="88" customWidth="1"/>
    <col min="4" max="4" width="9.7265625" style="88" customWidth="1"/>
    <col min="5" max="5" width="12" style="88" customWidth="1"/>
    <col min="6" max="6" width="10.26953125" style="88" customWidth="1"/>
    <col min="7" max="16384" width="9.1796875" style="8"/>
  </cols>
  <sheetData>
    <row r="1" spans="1:9" ht="14">
      <c r="A1" s="311" t="s">
        <v>36</v>
      </c>
      <c r="B1" s="5"/>
      <c r="C1" s="6"/>
      <c r="D1" s="5"/>
      <c r="E1" s="5"/>
      <c r="F1" s="5"/>
      <c r="G1" s="7"/>
      <c r="H1" s="7"/>
      <c r="I1" s="5"/>
    </row>
    <row r="2" spans="1:9" ht="14">
      <c r="A2" s="14" t="s">
        <v>118</v>
      </c>
    </row>
    <row r="3" spans="1:9" ht="13.5" thickBot="1">
      <c r="A3" s="17" t="s">
        <v>39</v>
      </c>
    </row>
    <row r="4" spans="1:9" ht="19.149999999999999" customHeight="1" thickTop="1" thickBot="1">
      <c r="A4" s="268"/>
      <c r="B4" s="268" t="s">
        <v>204</v>
      </c>
      <c r="C4" s="269" t="s">
        <v>14</v>
      </c>
      <c r="D4" s="270"/>
      <c r="E4" s="268" t="s">
        <v>206</v>
      </c>
      <c r="F4" s="269" t="s">
        <v>126</v>
      </c>
    </row>
    <row r="5" spans="1:9" ht="19" thickTop="1" thickBot="1">
      <c r="A5" s="271"/>
      <c r="B5" s="272"/>
      <c r="C5" s="268" t="s">
        <v>120</v>
      </c>
      <c r="D5" s="268" t="s">
        <v>205</v>
      </c>
      <c r="E5" s="272"/>
      <c r="F5" s="273" t="s">
        <v>126</v>
      </c>
    </row>
    <row r="6" spans="1:9" ht="13.5" thickTop="1" thickBot="1">
      <c r="A6" s="198"/>
      <c r="B6" s="224"/>
      <c r="C6" s="224"/>
      <c r="D6" s="197"/>
      <c r="E6" s="224"/>
      <c r="F6" s="200"/>
    </row>
    <row r="7" spans="1:9" ht="13.5" thickTop="1" thickBot="1">
      <c r="A7" s="198" t="s">
        <v>134</v>
      </c>
      <c r="B7" s="205">
        <v>1016035</v>
      </c>
      <c r="C7" s="205">
        <v>15963</v>
      </c>
      <c r="D7" s="205">
        <v>28215</v>
      </c>
      <c r="E7" s="205">
        <v>0</v>
      </c>
      <c r="F7" s="225">
        <f>SUM(B7:E7)</f>
        <v>1060213</v>
      </c>
    </row>
    <row r="8" spans="1:9" ht="13.5" thickTop="1" thickBot="1">
      <c r="A8" s="198"/>
      <c r="B8" s="196"/>
      <c r="C8" s="196"/>
      <c r="D8" s="202"/>
      <c r="E8" s="196"/>
      <c r="F8" s="203"/>
    </row>
    <row r="9" spans="1:9" ht="13.5" thickTop="1" thickBot="1">
      <c r="A9" s="198" t="s">
        <v>128</v>
      </c>
      <c r="B9" s="206">
        <v>25942</v>
      </c>
      <c r="C9" s="206">
        <v>0</v>
      </c>
      <c r="D9" s="206">
        <v>0</v>
      </c>
      <c r="E9" s="206">
        <v>0</v>
      </c>
      <c r="F9" s="226">
        <f>SUM(B9:E9)</f>
        <v>25942</v>
      </c>
    </row>
    <row r="10" spans="1:9" ht="13.5" thickTop="1" thickBot="1">
      <c r="A10" s="198"/>
      <c r="B10" s="196"/>
      <c r="C10" s="196"/>
      <c r="D10" s="202"/>
      <c r="E10" s="196"/>
      <c r="F10" s="203"/>
    </row>
    <row r="11" spans="1:9" ht="13.5" thickTop="1" thickBot="1">
      <c r="A11" s="198" t="s">
        <v>139</v>
      </c>
      <c r="B11" s="206">
        <v>0</v>
      </c>
      <c r="C11" s="206">
        <v>0</v>
      </c>
      <c r="D11" s="206">
        <v>0</v>
      </c>
      <c r="E11" s="206">
        <f>DRE!D36</f>
        <v>18918</v>
      </c>
      <c r="F11" s="226">
        <f>E11</f>
        <v>18918</v>
      </c>
    </row>
    <row r="12" spans="1:9" ht="13.5" thickTop="1" thickBot="1">
      <c r="A12" s="198"/>
      <c r="B12" s="224"/>
      <c r="C12" s="224"/>
      <c r="D12" s="205"/>
      <c r="E12" s="224"/>
      <c r="F12" s="225"/>
    </row>
    <row r="13" spans="1:9" ht="13.5" thickTop="1" thickBot="1">
      <c r="A13" s="198" t="s">
        <v>132</v>
      </c>
      <c r="B13" s="196"/>
      <c r="C13" s="196"/>
      <c r="D13" s="206"/>
      <c r="E13" s="196"/>
      <c r="F13" s="226"/>
    </row>
    <row r="14" spans="1:9" ht="13.5" thickTop="1" thickBot="1">
      <c r="A14" s="198" t="s">
        <v>210</v>
      </c>
      <c r="B14" s="206">
        <v>0</v>
      </c>
      <c r="C14" s="206">
        <v>946</v>
      </c>
      <c r="D14" s="206">
        <v>6927</v>
      </c>
      <c r="E14" s="206">
        <f>(C14+D14)*-1</f>
        <v>-7873</v>
      </c>
      <c r="F14" s="226">
        <f>SUM(B14:E14)</f>
        <v>0</v>
      </c>
    </row>
    <row r="15" spans="1:9" ht="13.5" thickTop="1" thickBot="1">
      <c r="A15" s="198" t="s">
        <v>209</v>
      </c>
      <c r="B15" s="206">
        <v>0</v>
      </c>
      <c r="C15" s="206">
        <v>0</v>
      </c>
      <c r="D15" s="206">
        <v>6552</v>
      </c>
      <c r="E15" s="206">
        <v>-11045</v>
      </c>
      <c r="F15" s="226">
        <f>SUM(B15:E15)</f>
        <v>-4493</v>
      </c>
    </row>
    <row r="16" spans="1:9" ht="15.4" customHeight="1" thickTop="1" thickBot="1">
      <c r="A16" s="198"/>
      <c r="B16" s="196"/>
      <c r="C16" s="196"/>
      <c r="D16" s="202"/>
      <c r="E16" s="196"/>
      <c r="F16" s="203"/>
    </row>
    <row r="17" spans="1:9" ht="13.5" thickTop="1" thickBot="1">
      <c r="A17" s="258" t="s">
        <v>207</v>
      </c>
      <c r="B17" s="259">
        <f>SUM(B7:B15)</f>
        <v>1041977</v>
      </c>
      <c r="C17" s="259">
        <f>SUM(C7:C15)</f>
        <v>16909</v>
      </c>
      <c r="D17" s="259">
        <f>SUM(D7:D15)</f>
        <v>41694</v>
      </c>
      <c r="E17" s="259">
        <f>SUM(E7:E15)</f>
        <v>0</v>
      </c>
      <c r="F17" s="260">
        <f>SUM(F7:F15)</f>
        <v>1100580</v>
      </c>
    </row>
    <row r="18" spans="1:9" ht="13.5" thickTop="1" thickBot="1">
      <c r="A18" s="264"/>
      <c r="B18" s="265"/>
      <c r="C18" s="265"/>
      <c r="D18" s="266"/>
      <c r="E18" s="265"/>
      <c r="F18" s="267"/>
    </row>
    <row r="19" spans="1:9" ht="13.5" thickTop="1" thickBot="1">
      <c r="A19" s="258" t="s">
        <v>135</v>
      </c>
      <c r="B19" s="259">
        <f>B17-B7</f>
        <v>25942</v>
      </c>
      <c r="C19" s="259">
        <f>C17-C7</f>
        <v>946</v>
      </c>
      <c r="D19" s="259">
        <f>D17-D7</f>
        <v>13479</v>
      </c>
      <c r="E19" s="259">
        <f>E17-E7</f>
        <v>0</v>
      </c>
      <c r="F19" s="260">
        <f>F17-F7</f>
        <v>40367</v>
      </c>
    </row>
    <row r="20" spans="1:9" ht="15.4" customHeight="1" thickTop="1" thickBot="1">
      <c r="A20" s="198"/>
      <c r="B20" s="196"/>
      <c r="C20" s="196"/>
      <c r="D20" s="206"/>
      <c r="E20" s="196"/>
      <c r="F20" s="226"/>
    </row>
    <row r="21" spans="1:9" ht="13.5" thickTop="1" thickBot="1">
      <c r="A21" s="198" t="s">
        <v>137</v>
      </c>
      <c r="B21" s="206">
        <v>1041977</v>
      </c>
      <c r="C21" s="206">
        <v>18341</v>
      </c>
      <c r="D21" s="206">
        <v>62101</v>
      </c>
      <c r="E21" s="206">
        <v>0</v>
      </c>
      <c r="F21" s="226">
        <f>SUM(B21:E21)</f>
        <v>1122419</v>
      </c>
      <c r="I21" s="194"/>
    </row>
    <row r="22" spans="1:9" ht="15.4" customHeight="1" thickTop="1" thickBot="1">
      <c r="A22" s="198"/>
      <c r="B22" s="206"/>
      <c r="C22" s="206"/>
      <c r="D22" s="206"/>
      <c r="E22" s="206"/>
      <c r="F22" s="226"/>
    </row>
    <row r="23" spans="1:9" ht="13.5" thickTop="1" thickBot="1">
      <c r="A23" s="198" t="s">
        <v>139</v>
      </c>
      <c r="B23" s="206">
        <v>0</v>
      </c>
      <c r="C23" s="206">
        <v>0</v>
      </c>
      <c r="D23" s="206">
        <v>0</v>
      </c>
      <c r="E23" s="206">
        <f>DRE!C36</f>
        <v>17915</v>
      </c>
      <c r="F23" s="226">
        <f>SUM(B23:E23)</f>
        <v>17915</v>
      </c>
    </row>
    <row r="24" spans="1:9" ht="13.5" thickTop="1" thickBot="1">
      <c r="A24" s="198"/>
      <c r="B24" s="206"/>
      <c r="C24" s="206"/>
      <c r="D24" s="206"/>
      <c r="E24" s="206"/>
      <c r="F24" s="226"/>
    </row>
    <row r="25" spans="1:9" ht="13.5" thickTop="1" thickBot="1">
      <c r="A25" s="198" t="s">
        <v>132</v>
      </c>
      <c r="B25" s="206"/>
      <c r="C25" s="206"/>
      <c r="D25" s="206"/>
      <c r="E25" s="206"/>
      <c r="F25" s="226"/>
      <c r="H25" s="295"/>
      <c r="I25" s="296"/>
    </row>
    <row r="26" spans="1:9" ht="13.5" thickTop="1" thickBot="1">
      <c r="A26" s="198" t="s">
        <v>210</v>
      </c>
      <c r="B26" s="206">
        <v>0</v>
      </c>
      <c r="C26" s="206">
        <v>896</v>
      </c>
      <c r="D26" s="206">
        <v>12764</v>
      </c>
      <c r="E26" s="206">
        <f>(C26+D26)*-1</f>
        <v>-13660</v>
      </c>
      <c r="F26" s="226">
        <f>SUM(B26:E26)</f>
        <v>0</v>
      </c>
      <c r="H26" s="295"/>
      <c r="I26" s="296"/>
    </row>
    <row r="27" spans="1:9" ht="13.5" thickTop="1" thickBot="1">
      <c r="A27" s="198" t="s">
        <v>209</v>
      </c>
      <c r="B27" s="206">
        <v>0</v>
      </c>
      <c r="C27" s="206">
        <v>0</v>
      </c>
      <c r="D27" s="206">
        <v>0</v>
      </c>
      <c r="E27" s="206">
        <v>-4255</v>
      </c>
      <c r="F27" s="226">
        <f>SUM(B27:E27)</f>
        <v>-4255</v>
      </c>
      <c r="H27" s="296"/>
      <c r="I27" s="296"/>
    </row>
    <row r="28" spans="1:9" ht="13.5" thickTop="1" thickBot="1">
      <c r="A28" s="198"/>
      <c r="B28" s="206"/>
      <c r="C28" s="206"/>
      <c r="D28" s="206"/>
      <c r="E28" s="206"/>
      <c r="F28" s="226"/>
    </row>
    <row r="29" spans="1:9" ht="13.5" thickTop="1" thickBot="1">
      <c r="A29" s="258" t="s">
        <v>208</v>
      </c>
      <c r="B29" s="259">
        <f>SUM(B21:B27)</f>
        <v>1041977</v>
      </c>
      <c r="C29" s="259">
        <f>SUM(C21:C27)</f>
        <v>19237</v>
      </c>
      <c r="D29" s="259">
        <f>SUM(D21:D27)</f>
        <v>74865</v>
      </c>
      <c r="E29" s="259">
        <f>SUM(E21:E27)</f>
        <v>0</v>
      </c>
      <c r="F29" s="260">
        <f>SUM(F21:F27)</f>
        <v>1136079</v>
      </c>
    </row>
    <row r="30" spans="1:9" ht="13.5" thickTop="1" thickBot="1">
      <c r="A30" s="261"/>
      <c r="B30" s="262"/>
      <c r="C30" s="262"/>
      <c r="D30" s="262"/>
      <c r="E30" s="262"/>
      <c r="F30" s="263"/>
    </row>
    <row r="31" spans="1:9" ht="13.5" thickTop="1" thickBot="1">
      <c r="A31" s="258" t="s">
        <v>135</v>
      </c>
      <c r="B31" s="259">
        <f>B29-B21</f>
        <v>0</v>
      </c>
      <c r="C31" s="259">
        <f>C29-C21</f>
        <v>896</v>
      </c>
      <c r="D31" s="259">
        <f>D29-D21</f>
        <v>12764</v>
      </c>
      <c r="E31" s="259">
        <f>E29-E21</f>
        <v>0</v>
      </c>
      <c r="F31" s="260">
        <f>F29-F21</f>
        <v>13660</v>
      </c>
    </row>
    <row r="32" spans="1:9" ht="13" thickTop="1">
      <c r="A32" s="86" t="s">
        <v>90</v>
      </c>
      <c r="B32" s="107"/>
      <c r="C32" s="107"/>
      <c r="D32" s="107"/>
      <c r="E32" s="107"/>
      <c r="F32" s="109"/>
    </row>
  </sheetData>
  <pageMargins left="0.98425196850393704" right="0.51181102362204722" top="0.78740157480314965" bottom="0.78740157480314965" header="0.31496062992125984" footer="0.39370078740157483"/>
  <pageSetup paperSize="9" orientation="portrait" r:id="rId1"/>
  <headerFooter>
    <oddFooter>&amp;R&amp;P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4D21F-A38D-4D35-9B0B-9751A0418AE9}">
  <dimension ref="A1:N62"/>
  <sheetViews>
    <sheetView showGridLines="0" zoomScaleNormal="100" workbookViewId="0">
      <selection activeCell="A3" sqref="A3"/>
    </sheetView>
  </sheetViews>
  <sheetFormatPr defaultRowHeight="14.5"/>
  <cols>
    <col min="1" max="1" width="62.453125" style="9" bestFit="1" customWidth="1"/>
    <col min="2" max="2" width="10" style="9" hidden="1" customWidth="1"/>
    <col min="3" max="4" width="11.7265625" style="9" customWidth="1"/>
    <col min="5" max="6" width="9.7265625" bestFit="1" customWidth="1"/>
    <col min="7" max="7" width="9.1796875" customWidth="1"/>
    <col min="8" max="8" width="12.7265625" bestFit="1" customWidth="1"/>
    <col min="9" max="9" width="27.26953125" bestFit="1" customWidth="1"/>
    <col min="10" max="10" width="13.81640625" customWidth="1"/>
  </cols>
  <sheetData>
    <row r="1" spans="1:14">
      <c r="A1" s="311" t="s">
        <v>36</v>
      </c>
      <c r="B1" s="95"/>
      <c r="C1" s="95"/>
      <c r="D1" s="5"/>
    </row>
    <row r="2" spans="1:14">
      <c r="A2" s="14" t="s">
        <v>256</v>
      </c>
      <c r="B2" s="111"/>
      <c r="C2" s="112"/>
      <c r="D2" s="113"/>
    </row>
    <row r="3" spans="1:14">
      <c r="A3" s="17" t="s">
        <v>39</v>
      </c>
      <c r="B3" s="111"/>
      <c r="C3" s="112"/>
      <c r="D3" s="112"/>
    </row>
    <row r="4" spans="1:14">
      <c r="A4" s="275"/>
      <c r="B4" s="274" t="s">
        <v>41</v>
      </c>
      <c r="C4" s="274" t="s">
        <v>176</v>
      </c>
      <c r="D4" s="274" t="s">
        <v>198</v>
      </c>
    </row>
    <row r="5" spans="1:14" ht="15" thickBot="1">
      <c r="A5" s="198" t="s">
        <v>141</v>
      </c>
      <c r="B5" s="224"/>
      <c r="C5" s="205"/>
      <c r="D5" s="205"/>
    </row>
    <row r="6" spans="1:14" ht="15.5" thickTop="1" thickBot="1">
      <c r="A6" s="198" t="s">
        <v>142</v>
      </c>
      <c r="B6" s="224"/>
      <c r="C6" s="205">
        <f>DRE!C30</f>
        <v>29233</v>
      </c>
      <c r="D6" s="205">
        <f>DRE!D30</f>
        <v>26754</v>
      </c>
    </row>
    <row r="7" spans="1:14" ht="15.5" thickTop="1" thickBot="1">
      <c r="A7" s="201"/>
      <c r="B7" s="196"/>
      <c r="C7" s="202"/>
      <c r="D7" s="202"/>
      <c r="F7" s="128"/>
      <c r="G7" s="128"/>
    </row>
    <row r="8" spans="1:14" ht="15.5" thickTop="1" thickBot="1">
      <c r="A8" s="198" t="s">
        <v>143</v>
      </c>
      <c r="B8" s="224"/>
      <c r="C8" s="205">
        <f>SUM(C9:C13)</f>
        <v>21076</v>
      </c>
      <c r="D8" s="205">
        <f>SUM(D9:D13)</f>
        <v>19939</v>
      </c>
      <c r="F8" s="128"/>
      <c r="G8" s="128"/>
    </row>
    <row r="9" spans="1:14" ht="15.5" thickTop="1" thickBot="1">
      <c r="A9" s="201" t="s">
        <v>211</v>
      </c>
      <c r="B9" s="196"/>
      <c r="C9" s="206">
        <v>17458</v>
      </c>
      <c r="D9" s="206">
        <v>19161</v>
      </c>
      <c r="E9" s="33"/>
      <c r="F9" s="128"/>
      <c r="G9" s="128"/>
    </row>
    <row r="10" spans="1:14" ht="15.5" thickTop="1" thickBot="1">
      <c r="A10" s="201" t="s">
        <v>212</v>
      </c>
      <c r="B10" s="196"/>
      <c r="C10" s="206">
        <f>298+131</f>
        <v>429</v>
      </c>
      <c r="D10" s="206">
        <v>424</v>
      </c>
      <c r="F10" s="128"/>
      <c r="G10" s="130"/>
      <c r="H10" s="131"/>
      <c r="I10" s="131"/>
      <c r="J10" s="131"/>
    </row>
    <row r="11" spans="1:14" ht="15.5" thickTop="1" thickBot="1">
      <c r="A11" s="201" t="s">
        <v>213</v>
      </c>
      <c r="B11" s="196"/>
      <c r="C11" s="206">
        <v>141</v>
      </c>
      <c r="D11" s="206">
        <v>353</v>
      </c>
      <c r="F11" s="128"/>
      <c r="G11" s="128"/>
      <c r="I11" s="294"/>
    </row>
    <row r="12" spans="1:14" ht="15.5" thickTop="1" thickBot="1">
      <c r="A12" s="201" t="s">
        <v>214</v>
      </c>
      <c r="B12" s="196"/>
      <c r="C12" s="206">
        <v>2855</v>
      </c>
      <c r="D12" s="206">
        <v>0</v>
      </c>
      <c r="F12" s="128"/>
      <c r="G12" s="128"/>
      <c r="I12" s="294"/>
    </row>
    <row r="13" spans="1:14" ht="15.5" thickTop="1" thickBot="1">
      <c r="A13" s="201" t="s">
        <v>215</v>
      </c>
      <c r="B13" s="196"/>
      <c r="C13" s="206">
        <v>193</v>
      </c>
      <c r="D13" s="206">
        <v>1</v>
      </c>
    </row>
    <row r="14" spans="1:14" s="131" customFormat="1" ht="15.5" thickTop="1" thickBot="1">
      <c r="A14" s="201"/>
      <c r="B14" s="196"/>
      <c r="C14" s="202"/>
      <c r="D14" s="202"/>
      <c r="E14"/>
      <c r="F14"/>
      <c r="G14"/>
      <c r="H14"/>
      <c r="I14"/>
      <c r="J14" s="134"/>
      <c r="K14" s="134"/>
      <c r="L14" s="134"/>
      <c r="M14" s="134"/>
      <c r="N14" s="134"/>
    </row>
    <row r="15" spans="1:14" ht="15.5" thickTop="1" thickBot="1">
      <c r="A15" s="198" t="s">
        <v>149</v>
      </c>
      <c r="B15" s="224"/>
      <c r="C15" s="205">
        <f>+C6+C8</f>
        <v>50309</v>
      </c>
      <c r="D15" s="205">
        <f>D6+D8</f>
        <v>46693</v>
      </c>
      <c r="J15" s="135"/>
      <c r="K15" s="135"/>
      <c r="L15" s="135"/>
      <c r="M15" s="135"/>
      <c r="N15" s="135"/>
    </row>
    <row r="16" spans="1:14" s="131" customFormat="1" ht="15.5" thickTop="1" thickBot="1">
      <c r="A16" s="201"/>
      <c r="B16" s="196"/>
      <c r="C16" s="202"/>
      <c r="D16" s="202"/>
      <c r="E16"/>
      <c r="F16"/>
      <c r="G16"/>
      <c r="H16"/>
      <c r="I16"/>
      <c r="J16" s="134" t="s">
        <v>151</v>
      </c>
      <c r="K16" s="134" t="s">
        <v>152</v>
      </c>
      <c r="L16" s="134"/>
      <c r="M16" s="134"/>
      <c r="N16" s="134"/>
    </row>
    <row r="17" spans="1:14" ht="15.5" thickTop="1" thickBot="1">
      <c r="A17" s="198" t="s">
        <v>150</v>
      </c>
      <c r="B17" s="224"/>
      <c r="C17" s="205">
        <f>+SUM(C18:C26)</f>
        <v>-14156</v>
      </c>
      <c r="D17" s="205">
        <f>SUM(D18:D26)</f>
        <v>-98705</v>
      </c>
      <c r="J17" s="135">
        <f>(383147-473892)*-1</f>
        <v>90745</v>
      </c>
      <c r="K17" s="135">
        <f>(383147-460027)*-1</f>
        <v>76880</v>
      </c>
      <c r="L17" s="135"/>
      <c r="M17" s="135"/>
      <c r="N17" s="135"/>
    </row>
    <row r="18" spans="1:14" ht="15.5" thickTop="1" thickBot="1">
      <c r="A18" s="201" t="s">
        <v>216</v>
      </c>
      <c r="B18" s="196"/>
      <c r="C18" s="206">
        <v>95880</v>
      </c>
      <c r="D18" s="206">
        <v>-39320</v>
      </c>
      <c r="J18" s="136">
        <f>3083+5071+1035-3474</f>
        <v>5715</v>
      </c>
      <c r="K18" s="135">
        <f>3906+33+101</f>
        <v>4040</v>
      </c>
      <c r="L18" s="136"/>
      <c r="M18" s="135"/>
      <c r="N18" s="135"/>
    </row>
    <row r="19" spans="1:14" ht="15.5" thickTop="1" thickBot="1">
      <c r="A19" s="201" t="s">
        <v>217</v>
      </c>
      <c r="B19" s="196"/>
      <c r="C19" s="206">
        <f>Balanço!D9-Balanço!C9-2878</f>
        <v>-175173</v>
      </c>
      <c r="D19" s="206">
        <v>13100</v>
      </c>
      <c r="J19" s="136"/>
      <c r="K19" s="135"/>
      <c r="L19" s="136"/>
      <c r="M19" s="135"/>
      <c r="N19" s="135"/>
    </row>
    <row r="20" spans="1:14" ht="15.5" thickTop="1" thickBot="1">
      <c r="A20" s="201" t="s">
        <v>218</v>
      </c>
      <c r="B20" s="196"/>
      <c r="C20" s="206">
        <f>Balanço!D13-Balanço!C13</f>
        <v>-4384</v>
      </c>
      <c r="D20" s="206">
        <v>-905</v>
      </c>
      <c r="J20" s="136">
        <f>+J17-J18</f>
        <v>85030</v>
      </c>
      <c r="K20" s="136">
        <f>+K17-K18</f>
        <v>72840</v>
      </c>
      <c r="L20" s="135"/>
      <c r="M20" s="135"/>
      <c r="N20" s="135"/>
    </row>
    <row r="21" spans="1:14" ht="15.5" thickTop="1" thickBot="1">
      <c r="A21" s="201" t="s">
        <v>219</v>
      </c>
      <c r="B21" s="196"/>
      <c r="C21" s="206">
        <f>Balanço!D16-Balanço!C16</f>
        <v>-40956</v>
      </c>
      <c r="D21" s="206">
        <f>-56435+905</f>
        <v>-55530</v>
      </c>
      <c r="J21" s="135"/>
      <c r="K21" s="135"/>
      <c r="L21" s="135"/>
      <c r="M21" s="135"/>
      <c r="N21" s="135"/>
    </row>
    <row r="22" spans="1:14" ht="15.5" thickTop="1" thickBot="1">
      <c r="A22" s="201" t="s">
        <v>220</v>
      </c>
      <c r="B22" s="196"/>
      <c r="C22" s="206">
        <f>Balanço!D15-Balanço!C15</f>
        <v>-1528</v>
      </c>
      <c r="D22" s="206">
        <v>-641</v>
      </c>
      <c r="J22" s="135"/>
      <c r="K22" s="135"/>
      <c r="L22" s="135"/>
      <c r="M22" s="135"/>
      <c r="N22" s="135"/>
    </row>
    <row r="23" spans="1:14" ht="15.5" thickTop="1" thickBot="1">
      <c r="A23" s="201" t="s">
        <v>221</v>
      </c>
      <c r="B23" s="196"/>
      <c r="C23" s="206">
        <v>-11</v>
      </c>
      <c r="D23" s="206">
        <v>0</v>
      </c>
      <c r="J23" s="135"/>
      <c r="K23" s="135"/>
      <c r="L23" s="135"/>
      <c r="M23" s="135"/>
      <c r="N23" s="135"/>
    </row>
    <row r="24" spans="1:14" ht="15.5" thickTop="1" thickBot="1">
      <c r="A24" s="201" t="s">
        <v>222</v>
      </c>
      <c r="B24" s="196"/>
      <c r="C24" s="206">
        <f>Balanço!G7-Balanço!H7</f>
        <v>52509</v>
      </c>
      <c r="D24" s="206">
        <v>-18189</v>
      </c>
      <c r="E24" s="128"/>
      <c r="F24" s="128"/>
      <c r="G24" s="128"/>
      <c r="H24" s="135"/>
      <c r="I24" s="135"/>
      <c r="J24" s="135"/>
      <c r="K24" s="135"/>
      <c r="L24" s="135"/>
      <c r="M24" s="135"/>
      <c r="N24" s="135"/>
    </row>
    <row r="25" spans="1:14" ht="15.5" thickTop="1" thickBot="1">
      <c r="A25" s="201" t="s">
        <v>223</v>
      </c>
      <c r="B25" s="196"/>
      <c r="C25" s="206">
        <v>64847</v>
      </c>
      <c r="D25" s="206">
        <v>6895</v>
      </c>
      <c r="E25" s="128"/>
      <c r="F25" s="128"/>
      <c r="G25" s="128"/>
      <c r="H25" s="137"/>
      <c r="I25" s="135"/>
      <c r="J25" s="135"/>
      <c r="K25" s="135"/>
      <c r="L25" s="135"/>
      <c r="M25" s="135"/>
      <c r="N25" s="135"/>
    </row>
    <row r="26" spans="1:14" ht="15.5" thickTop="1" thickBot="1">
      <c r="A26" s="201" t="s">
        <v>224</v>
      </c>
      <c r="B26" s="196"/>
      <c r="C26" s="206">
        <v>-5340</v>
      </c>
      <c r="D26" s="206">
        <v>-4115</v>
      </c>
      <c r="E26" s="128"/>
      <c r="F26" s="128"/>
      <c r="I26" s="138"/>
    </row>
    <row r="27" spans="1:14" s="131" customFormat="1" ht="15.5" thickTop="1" thickBot="1">
      <c r="A27" s="201"/>
      <c r="B27" s="196"/>
      <c r="C27" s="202"/>
      <c r="D27" s="202"/>
      <c r="E27" s="130"/>
      <c r="F27" s="130"/>
      <c r="G27" s="130"/>
    </row>
    <row r="28" spans="1:14" ht="15.5" thickTop="1" thickBot="1">
      <c r="A28" s="198" t="s">
        <v>235</v>
      </c>
      <c r="B28" s="224"/>
      <c r="C28" s="205">
        <f>+C15+C17</f>
        <v>36153</v>
      </c>
      <c r="D28" s="205">
        <f>+D15+D17</f>
        <v>-52012</v>
      </c>
      <c r="E28" s="128"/>
      <c r="F28" s="128"/>
      <c r="G28" s="128"/>
    </row>
    <row r="29" spans="1:14" s="131" customFormat="1" ht="15.5" thickTop="1" thickBot="1">
      <c r="A29" s="201"/>
      <c r="B29" s="196"/>
      <c r="C29" s="202"/>
      <c r="D29" s="202"/>
      <c r="E29" s="130"/>
      <c r="F29" s="130"/>
      <c r="G29" s="130"/>
    </row>
    <row r="30" spans="1:14" ht="15.5" thickTop="1" thickBot="1">
      <c r="A30" s="198" t="s">
        <v>162</v>
      </c>
      <c r="B30" s="224"/>
      <c r="C30" s="205"/>
      <c r="D30" s="205"/>
      <c r="E30" s="128"/>
      <c r="F30" s="128"/>
      <c r="G30" s="128"/>
    </row>
    <row r="31" spans="1:14" ht="15.5" thickTop="1" thickBot="1">
      <c r="A31" s="201" t="s">
        <v>225</v>
      </c>
      <c r="B31" s="196"/>
      <c r="C31" s="206">
        <v>-76</v>
      </c>
      <c r="D31" s="206">
        <v>-79</v>
      </c>
      <c r="E31" s="128"/>
      <c r="F31" s="128"/>
      <c r="G31" s="128"/>
    </row>
    <row r="32" spans="1:14" ht="15.5" thickTop="1" thickBot="1">
      <c r="A32" s="201" t="s">
        <v>226</v>
      </c>
      <c r="B32" s="196"/>
      <c r="C32" s="206">
        <v>0</v>
      </c>
      <c r="D32" s="206">
        <v>-300</v>
      </c>
      <c r="E32" s="128"/>
      <c r="F32" s="128"/>
      <c r="G32" s="128"/>
    </row>
    <row r="33" spans="1:7" s="131" customFormat="1" ht="15.5" thickTop="1" thickBot="1">
      <c r="A33" s="201"/>
      <c r="B33" s="196"/>
      <c r="C33" s="202"/>
      <c r="D33" s="202"/>
      <c r="E33" s="130"/>
      <c r="F33" s="130"/>
      <c r="G33" s="130"/>
    </row>
    <row r="34" spans="1:7" ht="15.5" thickTop="1" thickBot="1">
      <c r="A34" s="198" t="s">
        <v>236</v>
      </c>
      <c r="B34" s="224"/>
      <c r="C34" s="205">
        <f>SUM(C31:C32)</f>
        <v>-76</v>
      </c>
      <c r="D34" s="205">
        <f>SUM(D31:D32)</f>
        <v>-379</v>
      </c>
      <c r="E34" s="128"/>
      <c r="F34" s="128"/>
      <c r="G34" s="128"/>
    </row>
    <row r="35" spans="1:7" s="131" customFormat="1" ht="15.5" thickTop="1" thickBot="1">
      <c r="A35" s="201"/>
      <c r="B35" s="196"/>
      <c r="C35" s="202"/>
      <c r="D35" s="202"/>
      <c r="E35" s="130"/>
      <c r="F35" s="130"/>
      <c r="G35" s="130"/>
    </row>
    <row r="36" spans="1:7" ht="15.5" thickTop="1" thickBot="1">
      <c r="A36" s="198" t="s">
        <v>167</v>
      </c>
      <c r="B36" s="224"/>
      <c r="C36" s="205"/>
      <c r="D36" s="205"/>
      <c r="E36" s="128"/>
      <c r="F36" s="128"/>
      <c r="G36" s="128"/>
    </row>
    <row r="37" spans="1:7" ht="15.5" thickTop="1" thickBot="1">
      <c r="A37" s="201" t="s">
        <v>227</v>
      </c>
      <c r="B37" s="196"/>
      <c r="C37" s="206">
        <v>-4361</v>
      </c>
      <c r="D37" s="206">
        <v>-2063</v>
      </c>
      <c r="E37" s="128"/>
      <c r="F37" s="128"/>
      <c r="G37" s="128"/>
    </row>
    <row r="38" spans="1:7" ht="15.5" thickTop="1" thickBot="1">
      <c r="A38" s="201" t="s">
        <v>228</v>
      </c>
      <c r="B38" s="196">
        <v>10</v>
      </c>
      <c r="C38" s="206">
        <v>-1722</v>
      </c>
      <c r="D38" s="206">
        <v>0</v>
      </c>
      <c r="E38" s="128"/>
      <c r="F38" s="128"/>
      <c r="G38" s="128"/>
    </row>
    <row r="39" spans="1:7" ht="15.5" thickTop="1" thickBot="1">
      <c r="A39" s="201"/>
      <c r="B39" s="196"/>
      <c r="C39" s="202"/>
      <c r="D39" s="202"/>
      <c r="E39" s="128"/>
      <c r="F39" s="128"/>
      <c r="G39" s="128"/>
    </row>
    <row r="40" spans="1:7" ht="15.5" thickTop="1" thickBot="1">
      <c r="A40" s="198" t="s">
        <v>237</v>
      </c>
      <c r="B40" s="224"/>
      <c r="C40" s="205">
        <f>+SUM(C37:C38)</f>
        <v>-6083</v>
      </c>
      <c r="D40" s="205">
        <f>+SUM(D37:D38)</f>
        <v>-2063</v>
      </c>
      <c r="E40" s="128"/>
      <c r="F40" s="128"/>
    </row>
    <row r="41" spans="1:7" ht="15.5" thickTop="1" thickBot="1">
      <c r="A41" s="201"/>
      <c r="B41" s="196"/>
      <c r="C41" s="202"/>
      <c r="D41" s="202"/>
      <c r="E41" s="128"/>
      <c r="F41" s="128"/>
    </row>
    <row r="42" spans="1:7" ht="15.5" thickTop="1" thickBot="1">
      <c r="A42" s="198" t="s">
        <v>172</v>
      </c>
      <c r="B42" s="224"/>
      <c r="C42" s="205">
        <f>SUM(C28,C34,C40)</f>
        <v>29994</v>
      </c>
      <c r="D42" s="205">
        <f>SUM(D28,D34,D40)</f>
        <v>-54454</v>
      </c>
      <c r="E42" s="128"/>
      <c r="F42" s="128"/>
    </row>
    <row r="43" spans="1:7" ht="15.5" thickTop="1" thickBot="1">
      <c r="A43" s="201"/>
      <c r="B43" s="196"/>
      <c r="C43" s="202"/>
      <c r="D43" s="202"/>
    </row>
    <row r="44" spans="1:7" ht="15.5" thickTop="1" thickBot="1">
      <c r="A44" s="250" t="s">
        <v>173</v>
      </c>
      <c r="B44" s="251"/>
      <c r="C44" s="249"/>
      <c r="D44" s="249"/>
    </row>
    <row r="45" spans="1:7" ht="15.5" thickTop="1" thickBot="1">
      <c r="A45" s="252" t="s">
        <v>229</v>
      </c>
      <c r="B45" s="253"/>
      <c r="C45" s="254">
        <v>18803</v>
      </c>
      <c r="D45" s="254">
        <v>77128</v>
      </c>
    </row>
    <row r="46" spans="1:7" ht="15.5" thickTop="1" thickBot="1">
      <c r="A46" s="252" t="s">
        <v>230</v>
      </c>
      <c r="B46" s="253">
        <v>4</v>
      </c>
      <c r="C46" s="254">
        <v>48797</v>
      </c>
      <c r="D46" s="254">
        <v>22674</v>
      </c>
    </row>
    <row r="47" spans="1:7" ht="15" thickTop="1">
      <c r="A47" s="255" t="s">
        <v>172</v>
      </c>
      <c r="B47" s="256"/>
      <c r="C47" s="257">
        <f>+C46-C45</f>
        <v>29994</v>
      </c>
      <c r="D47" s="257">
        <f>+D46-D45</f>
        <v>-54454</v>
      </c>
    </row>
    <row r="48" spans="1:7" s="155" customFormat="1">
      <c r="A48" s="86" t="s">
        <v>90</v>
      </c>
      <c r="B48" s="25"/>
      <c r="C48" s="153"/>
      <c r="D48" s="154"/>
    </row>
    <row r="49" spans="1:4">
      <c r="A49" s="73"/>
      <c r="B49" s="73"/>
      <c r="C49" s="152"/>
      <c r="D49" s="152"/>
    </row>
    <row r="50" spans="1:4">
      <c r="A50" s="73"/>
      <c r="B50" s="73"/>
      <c r="C50" s="152"/>
      <c r="D50" s="152"/>
    </row>
    <row r="51" spans="1:4">
      <c r="A51" s="73"/>
      <c r="B51" s="73"/>
      <c r="C51" s="152"/>
      <c r="D51" s="73"/>
    </row>
    <row r="52" spans="1:4">
      <c r="A52" s="73"/>
      <c r="B52" s="73"/>
      <c r="C52" s="152"/>
      <c r="D52" s="73"/>
    </row>
    <row r="53" spans="1:4">
      <c r="A53" s="73"/>
      <c r="B53" s="73"/>
      <c r="C53" s="73"/>
      <c r="D53" s="73"/>
    </row>
    <row r="54" spans="1:4">
      <c r="A54" s="73"/>
      <c r="B54" s="73"/>
      <c r="C54" s="152"/>
      <c r="D54" s="73"/>
    </row>
    <row r="55" spans="1:4">
      <c r="A55" s="73"/>
      <c r="B55" s="73"/>
      <c r="C55" s="152"/>
      <c r="D55" s="73"/>
    </row>
    <row r="56" spans="1:4">
      <c r="A56" s="73"/>
      <c r="B56" s="73"/>
      <c r="C56" s="73"/>
      <c r="D56" s="73"/>
    </row>
    <row r="57" spans="1:4">
      <c r="A57" s="73"/>
      <c r="B57" s="73"/>
      <c r="C57" s="152"/>
      <c r="D57" s="73"/>
    </row>
    <row r="58" spans="1:4">
      <c r="A58" s="73"/>
      <c r="B58" s="73"/>
      <c r="C58" s="73"/>
      <c r="D58" s="73"/>
    </row>
    <row r="59" spans="1:4">
      <c r="A59" s="73"/>
      <c r="B59" s="73"/>
      <c r="C59" s="73"/>
      <c r="D59" s="73"/>
    </row>
    <row r="60" spans="1:4">
      <c r="A60" s="73"/>
      <c r="B60" s="73"/>
      <c r="C60" s="73"/>
      <c r="D60" s="73"/>
    </row>
    <row r="61" spans="1:4">
      <c r="A61" s="73"/>
      <c r="B61" s="73"/>
      <c r="C61" s="73"/>
      <c r="D61" s="73"/>
    </row>
    <row r="62" spans="1:4">
      <c r="A62" s="73"/>
      <c r="B62" s="73"/>
      <c r="C62" s="73"/>
      <c r="D62" s="73"/>
    </row>
  </sheetData>
  <pageMargins left="0.98425196850393704" right="0.51181102362204722" top="0.78740157480314965" bottom="0.78740157480314965" header="0.31496062992125984" footer="0.39370078740157483"/>
  <pageSetup paperSize="9" scale="92" orientation="portrait" r:id="rId1"/>
  <headerFooter>
    <oddFooter>&amp;R&amp;P</oddFooter>
  </headerFooter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39098-0D88-4280-AE80-6B81F298D28E}">
  <dimension ref="A1:S79"/>
  <sheetViews>
    <sheetView topLeftCell="A48" workbookViewId="0">
      <selection activeCell="E57" sqref="E57:E58"/>
    </sheetView>
  </sheetViews>
  <sheetFormatPr defaultColWidth="9.1796875" defaultRowHeight="12.5"/>
  <cols>
    <col min="1" max="2" width="1.81640625" style="8" customWidth="1"/>
    <col min="3" max="3" width="33" style="8" customWidth="1"/>
    <col min="4" max="4" width="5.26953125" style="8" bestFit="1" customWidth="1"/>
    <col min="5" max="5" width="12.81640625" style="8" bestFit="1" customWidth="1"/>
    <col min="6" max="6" width="3.26953125" style="8" customWidth="1"/>
    <col min="7" max="7" width="2.1796875" style="8" customWidth="1"/>
    <col min="8" max="8" width="1.81640625" style="8" customWidth="1"/>
    <col min="9" max="9" width="31.26953125" style="8" customWidth="1"/>
    <col min="10" max="10" width="5.26953125" style="8" bestFit="1" customWidth="1"/>
    <col min="11" max="11" width="11.26953125" style="8" bestFit="1" customWidth="1"/>
    <col min="12" max="12" width="10.26953125" style="8" bestFit="1" customWidth="1"/>
    <col min="13" max="16384" width="9.1796875" style="8"/>
  </cols>
  <sheetData>
    <row r="1" spans="1:13" ht="14">
      <c r="A1" s="4" t="s">
        <v>36</v>
      </c>
      <c r="B1" s="5"/>
      <c r="C1" s="5"/>
      <c r="D1" s="5"/>
      <c r="E1" s="5"/>
      <c r="F1" s="5"/>
      <c r="G1" s="5"/>
      <c r="H1" s="5"/>
      <c r="I1" s="5"/>
      <c r="J1" s="5"/>
      <c r="K1" s="5"/>
      <c r="L1" s="7"/>
    </row>
    <row r="2" spans="1:13" ht="14.2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3" ht="14">
      <c r="A3" s="9" t="s">
        <v>37</v>
      </c>
      <c r="B3" s="10"/>
      <c r="C3" s="10"/>
      <c r="D3" s="10"/>
      <c r="E3" s="10"/>
      <c r="F3" s="11"/>
      <c r="G3" s="11"/>
      <c r="H3" s="11"/>
      <c r="I3" s="11"/>
      <c r="J3" s="11"/>
      <c r="K3" s="11"/>
      <c r="L3" s="12"/>
    </row>
    <row r="4" spans="1:13" ht="14.25" customHeight="1">
      <c r="A4" s="4"/>
      <c r="B4" s="13"/>
      <c r="C4" s="13"/>
      <c r="D4" s="13"/>
      <c r="E4" s="13"/>
    </row>
    <row r="5" spans="1:13" ht="14">
      <c r="A5" s="14" t="s">
        <v>38</v>
      </c>
      <c r="B5" s="15"/>
      <c r="C5" s="15"/>
      <c r="D5" s="15"/>
      <c r="E5" s="15"/>
      <c r="F5" s="5"/>
      <c r="G5" s="15"/>
      <c r="H5" s="15"/>
      <c r="I5" s="15"/>
      <c r="J5" s="15"/>
      <c r="K5" s="15"/>
      <c r="L5" s="7"/>
      <c r="M5" s="5"/>
    </row>
    <row r="6" spans="1:13" ht="14.25" customHeight="1">
      <c r="A6" s="16"/>
      <c r="B6" s="15"/>
      <c r="C6" s="15"/>
      <c r="D6" s="15"/>
      <c r="E6" s="15"/>
      <c r="F6" s="5"/>
      <c r="G6" s="15"/>
      <c r="H6" s="15"/>
      <c r="I6" s="15"/>
      <c r="J6" s="15"/>
      <c r="K6" s="15"/>
      <c r="L6" s="7"/>
    </row>
    <row r="7" spans="1:13" ht="14.25" customHeight="1">
      <c r="A7" s="17" t="s">
        <v>39</v>
      </c>
      <c r="B7" s="15"/>
      <c r="C7" s="15"/>
      <c r="D7" s="15"/>
      <c r="E7" s="15"/>
      <c r="F7" s="5"/>
      <c r="G7" s="15"/>
      <c r="H7" s="15"/>
      <c r="I7" s="15"/>
      <c r="J7" s="15"/>
      <c r="K7" s="15"/>
      <c r="L7" s="7"/>
    </row>
    <row r="8" spans="1:13" ht="14.25" customHeight="1">
      <c r="A8" s="17"/>
      <c r="B8" s="15"/>
      <c r="C8" s="15"/>
      <c r="D8" s="15"/>
      <c r="E8" s="15"/>
      <c r="F8" s="5"/>
      <c r="G8" s="15"/>
      <c r="H8" s="15"/>
      <c r="I8" s="15"/>
      <c r="J8" s="15"/>
      <c r="K8" s="15"/>
      <c r="L8" s="7"/>
    </row>
    <row r="9" spans="1:13" ht="14.25" customHeight="1">
      <c r="A9" s="17"/>
      <c r="B9" s="15"/>
      <c r="C9" s="15"/>
      <c r="D9" s="15"/>
      <c r="E9" s="15"/>
      <c r="F9" s="5"/>
      <c r="G9" s="15"/>
      <c r="H9" s="15"/>
      <c r="I9" s="15"/>
      <c r="J9" s="15"/>
      <c r="K9" s="15"/>
      <c r="L9" s="7"/>
    </row>
    <row r="10" spans="1:13" ht="14.25" customHeight="1">
      <c r="A10" s="18"/>
      <c r="B10" s="15"/>
      <c r="C10" s="15"/>
      <c r="D10" s="15"/>
      <c r="E10" s="15"/>
      <c r="F10" s="5"/>
      <c r="G10" s="15"/>
      <c r="H10" s="15"/>
      <c r="I10" s="15"/>
      <c r="J10" s="15"/>
      <c r="K10" s="15"/>
      <c r="L10" s="7"/>
    </row>
    <row r="11" spans="1:13" ht="14.25" customHeight="1">
      <c r="A11" s="16"/>
      <c r="B11" s="15"/>
      <c r="C11" s="15"/>
      <c r="D11" s="15"/>
      <c r="E11" s="15"/>
      <c r="F11" s="5"/>
      <c r="G11" s="15"/>
      <c r="H11" s="15"/>
      <c r="I11" s="15"/>
      <c r="J11" s="15"/>
      <c r="K11" s="15"/>
      <c r="L11" s="7"/>
    </row>
    <row r="12" spans="1:13" ht="14.25" customHeight="1">
      <c r="A12" s="19" t="s">
        <v>40</v>
      </c>
      <c r="B12" s="20"/>
      <c r="C12" s="19"/>
      <c r="D12" s="21" t="s">
        <v>41</v>
      </c>
      <c r="E12" s="22" t="s">
        <v>21</v>
      </c>
      <c r="F12" s="23"/>
      <c r="G12" s="19" t="s">
        <v>42</v>
      </c>
      <c r="H12" s="19"/>
      <c r="I12" s="19"/>
      <c r="J12" s="21" t="s">
        <v>41</v>
      </c>
      <c r="K12" s="22" t="s">
        <v>21</v>
      </c>
      <c r="L12" s="24"/>
    </row>
    <row r="13" spans="1:13" ht="14.25" customHeight="1">
      <c r="A13" s="25"/>
      <c r="C13" s="25"/>
      <c r="D13" s="26"/>
      <c r="E13" s="27"/>
      <c r="F13" s="24"/>
      <c r="G13" s="25"/>
      <c r="H13" s="25"/>
      <c r="I13" s="25"/>
      <c r="J13" s="26"/>
      <c r="K13" s="27"/>
      <c r="L13" s="24"/>
    </row>
    <row r="14" spans="1:13" ht="14.25" customHeight="1">
      <c r="A14" s="28" t="s">
        <v>43</v>
      </c>
      <c r="B14" s="29"/>
      <c r="C14" s="28"/>
      <c r="D14" s="30"/>
      <c r="E14" s="31">
        <f>E16+E19+E22+E27+E33</f>
        <v>653742</v>
      </c>
      <c r="F14" s="32"/>
      <c r="G14" s="28" t="s">
        <v>44</v>
      </c>
      <c r="H14" s="28"/>
      <c r="I14" s="28"/>
      <c r="J14" s="30"/>
      <c r="K14" s="31">
        <f>K16+K20+K25</f>
        <v>235873</v>
      </c>
      <c r="L14" s="24"/>
    </row>
    <row r="15" spans="1:13" ht="14.25" customHeight="1">
      <c r="A15" s="24"/>
      <c r="B15" s="25"/>
      <c r="C15" s="25"/>
      <c r="D15" s="26"/>
      <c r="E15" s="33"/>
      <c r="F15" s="34"/>
      <c r="G15" s="25"/>
      <c r="H15" s="25"/>
      <c r="I15" s="25"/>
      <c r="J15" s="26"/>
      <c r="K15" s="33"/>
      <c r="L15" s="24"/>
    </row>
    <row r="16" spans="1:13" ht="14.25" customHeight="1">
      <c r="A16" s="35"/>
      <c r="B16" s="36" t="s">
        <v>45</v>
      </c>
      <c r="C16" s="37"/>
      <c r="D16" s="38"/>
      <c r="E16" s="31">
        <v>4</v>
      </c>
      <c r="F16" s="39"/>
      <c r="G16" s="37"/>
      <c r="H16" s="28" t="s">
        <v>46</v>
      </c>
      <c r="I16" s="29"/>
      <c r="J16" s="40"/>
      <c r="K16" s="31">
        <f>K17</f>
        <v>67</v>
      </c>
      <c r="L16" s="24"/>
    </row>
    <row r="17" spans="1:14" ht="14.25" customHeight="1">
      <c r="A17" s="24"/>
      <c r="B17" s="25"/>
      <c r="C17" s="25"/>
      <c r="D17" s="26"/>
      <c r="E17" s="33"/>
      <c r="F17" s="34"/>
      <c r="G17" s="25"/>
      <c r="H17" s="41"/>
      <c r="I17" s="41" t="s">
        <v>47</v>
      </c>
      <c r="J17" s="42"/>
      <c r="K17" s="33">
        <v>67</v>
      </c>
      <c r="L17" s="24"/>
    </row>
    <row r="18" spans="1:14" ht="14.25" customHeight="1">
      <c r="A18" s="43"/>
      <c r="B18" s="29" t="s">
        <v>48</v>
      </c>
      <c r="C18" s="28"/>
      <c r="D18" s="30"/>
      <c r="E18" s="31"/>
      <c r="F18" s="44"/>
      <c r="G18" s="29"/>
      <c r="H18" s="37"/>
      <c r="I18" s="37"/>
      <c r="J18" s="45"/>
      <c r="K18" s="46"/>
      <c r="L18" s="5"/>
    </row>
    <row r="19" spans="1:14" ht="14.25" customHeight="1">
      <c r="A19" s="24"/>
      <c r="B19" s="47" t="s">
        <v>49</v>
      </c>
      <c r="C19" s="47"/>
      <c r="D19" s="48">
        <v>5</v>
      </c>
      <c r="E19" s="49">
        <f>E20</f>
        <v>229784</v>
      </c>
      <c r="F19" s="27"/>
      <c r="G19" s="41"/>
      <c r="H19" s="16" t="s">
        <v>50</v>
      </c>
      <c r="I19" s="50"/>
      <c r="J19" s="51"/>
      <c r="L19" s="5"/>
    </row>
    <row r="20" spans="1:14" ht="14.25" customHeight="1">
      <c r="A20" s="37"/>
      <c r="B20" s="52"/>
      <c r="C20" s="37" t="s">
        <v>51</v>
      </c>
      <c r="D20" s="38"/>
      <c r="E20" s="46">
        <f>481532-E40</f>
        <v>229784</v>
      </c>
      <c r="F20" s="39"/>
      <c r="G20" s="37"/>
      <c r="H20" s="28" t="s">
        <v>52</v>
      </c>
      <c r="I20" s="43"/>
      <c r="J20" s="45">
        <v>8</v>
      </c>
      <c r="K20" s="31">
        <f>SUM(K21:K23)</f>
        <v>157308</v>
      </c>
      <c r="L20" s="5"/>
    </row>
    <row r="21" spans="1:14" ht="14.25" customHeight="1">
      <c r="A21" s="41"/>
      <c r="C21" s="41"/>
      <c r="D21" s="26"/>
      <c r="E21" s="33"/>
      <c r="F21" s="34"/>
      <c r="H21" s="41"/>
      <c r="I21" s="41" t="s">
        <v>53</v>
      </c>
      <c r="J21" s="42"/>
      <c r="K21" s="33">
        <f>371292-K41</f>
        <v>116619</v>
      </c>
      <c r="L21" s="5"/>
      <c r="M21" s="53"/>
      <c r="N21" s="53"/>
    </row>
    <row r="22" spans="1:14" ht="14.25" customHeight="1">
      <c r="A22" s="43"/>
      <c r="B22" s="36" t="s">
        <v>54</v>
      </c>
      <c r="C22" s="36"/>
      <c r="D22" s="30">
        <v>6</v>
      </c>
      <c r="E22" s="31">
        <f>E23+E25+E24</f>
        <v>355237</v>
      </c>
      <c r="F22" s="54"/>
      <c r="G22" s="43"/>
      <c r="H22" s="37"/>
      <c r="I22" s="37" t="s">
        <v>55</v>
      </c>
      <c r="J22" s="45"/>
      <c r="K22" s="46">
        <f>37240-K42</f>
        <v>12064</v>
      </c>
      <c r="L22" s="5"/>
    </row>
    <row r="23" spans="1:14" ht="14.25" customHeight="1">
      <c r="A23" s="24"/>
      <c r="C23" s="25" t="s">
        <v>56</v>
      </c>
      <c r="D23" s="26"/>
      <c r="E23" s="33">
        <f>277573-E45</f>
        <v>101204</v>
      </c>
      <c r="F23" s="34"/>
      <c r="G23" s="41"/>
      <c r="H23" s="55"/>
      <c r="I23" s="55" t="s">
        <v>57</v>
      </c>
      <c r="J23" s="56"/>
      <c r="K23" s="57">
        <f>152657-K43</f>
        <v>28625</v>
      </c>
      <c r="L23" s="5"/>
    </row>
    <row r="24" spans="1:14" ht="14.25" customHeight="1">
      <c r="A24" s="37"/>
      <c r="B24" s="52"/>
      <c r="C24" s="52" t="s">
        <v>58</v>
      </c>
      <c r="D24" s="52"/>
      <c r="E24" s="58">
        <f>991005-E46</f>
        <v>271617</v>
      </c>
      <c r="F24" s="39"/>
      <c r="G24" s="37"/>
      <c r="H24" s="59"/>
      <c r="I24" s="60"/>
      <c r="J24" s="61"/>
      <c r="K24" s="62"/>
      <c r="L24" s="24"/>
    </row>
    <row r="25" spans="1:14" ht="14.25" customHeight="1">
      <c r="C25" s="41" t="s">
        <v>59</v>
      </c>
      <c r="D25" s="26"/>
      <c r="E25" s="33">
        <f>-83223-E47</f>
        <v>-17584</v>
      </c>
      <c r="F25" s="63"/>
      <c r="G25" s="55"/>
      <c r="H25" s="47" t="s">
        <v>60</v>
      </c>
      <c r="I25" s="47"/>
      <c r="J25" s="42"/>
      <c r="K25" s="49">
        <f>SUM(K26:K30)</f>
        <v>78498</v>
      </c>
      <c r="L25" s="24"/>
    </row>
    <row r="26" spans="1:14" ht="14.25" customHeight="1">
      <c r="A26" s="43"/>
      <c r="B26" s="37"/>
      <c r="C26" s="37"/>
      <c r="D26" s="38"/>
      <c r="E26" s="64"/>
      <c r="F26" s="65"/>
      <c r="G26" s="60"/>
      <c r="H26" s="36"/>
      <c r="I26" s="37" t="s">
        <v>61</v>
      </c>
      <c r="J26" s="66"/>
      <c r="K26" s="46">
        <v>174</v>
      </c>
      <c r="L26" s="24"/>
    </row>
    <row r="27" spans="1:14" ht="14.25" customHeight="1">
      <c r="A27" s="24"/>
      <c r="B27" s="16" t="s">
        <v>62</v>
      </c>
      <c r="C27" s="16"/>
      <c r="D27" s="48"/>
      <c r="E27" s="67">
        <f>E30+E29+E28+E31</f>
        <v>24101</v>
      </c>
      <c r="F27" s="34"/>
      <c r="G27" s="25"/>
      <c r="H27" s="25"/>
      <c r="I27" s="25" t="s">
        <v>63</v>
      </c>
      <c r="J27" s="42">
        <v>9</v>
      </c>
      <c r="K27" s="33">
        <v>6280</v>
      </c>
      <c r="L27" s="24"/>
    </row>
    <row r="28" spans="1:14" ht="14.25" customHeight="1">
      <c r="A28" s="35"/>
      <c r="B28" s="28"/>
      <c r="C28" s="43" t="s">
        <v>64</v>
      </c>
      <c r="D28" s="30">
        <v>12</v>
      </c>
      <c r="E28" s="68">
        <f>52904-E50</f>
        <v>20465</v>
      </c>
      <c r="F28" s="39"/>
      <c r="G28" s="37"/>
      <c r="H28" s="43"/>
      <c r="I28" s="52" t="s">
        <v>65</v>
      </c>
      <c r="J28" s="40">
        <v>9</v>
      </c>
      <c r="K28" s="68">
        <f>5587-K46</f>
        <v>3941</v>
      </c>
      <c r="L28" s="24"/>
    </row>
    <row r="29" spans="1:14" ht="14.25" customHeight="1">
      <c r="A29" s="34"/>
      <c r="B29" s="41"/>
      <c r="C29" s="41" t="s">
        <v>66</v>
      </c>
      <c r="D29" s="26"/>
      <c r="E29" s="69">
        <v>1039</v>
      </c>
      <c r="F29" s="34"/>
      <c r="G29" s="25"/>
      <c r="H29" s="41"/>
      <c r="I29" s="25" t="s">
        <v>67</v>
      </c>
      <c r="J29" s="42">
        <v>9</v>
      </c>
      <c r="K29" s="69">
        <f>96594-K47</f>
        <v>58786</v>
      </c>
      <c r="L29" s="24"/>
    </row>
    <row r="30" spans="1:14" ht="14.25" customHeight="1">
      <c r="A30" s="39"/>
      <c r="B30" s="52"/>
      <c r="C30" s="43" t="s">
        <v>68</v>
      </c>
      <c r="D30" s="30"/>
      <c r="E30" s="46">
        <f>2749-E51</f>
        <v>2600</v>
      </c>
      <c r="F30" s="35"/>
      <c r="G30" s="52"/>
      <c r="H30" s="37"/>
      <c r="I30" s="43" t="s">
        <v>68</v>
      </c>
      <c r="J30" s="45">
        <v>9</v>
      </c>
      <c r="K30" s="46">
        <f>9848-K48</f>
        <v>9317</v>
      </c>
      <c r="L30" s="24"/>
    </row>
    <row r="31" spans="1:14" ht="14.25" customHeight="1">
      <c r="A31" s="34"/>
      <c r="C31" s="41" t="s">
        <v>69</v>
      </c>
      <c r="D31" s="48"/>
      <c r="E31" s="33">
        <f>-18-E52</f>
        <v>-3</v>
      </c>
      <c r="F31" s="24"/>
      <c r="H31" s="41"/>
      <c r="I31" s="41"/>
      <c r="J31" s="42"/>
      <c r="K31" s="33"/>
      <c r="L31" s="24"/>
    </row>
    <row r="32" spans="1:14" ht="14.25" customHeight="1">
      <c r="A32" s="41"/>
      <c r="B32" s="25"/>
      <c r="C32" s="25"/>
      <c r="D32" s="26"/>
      <c r="E32" s="70"/>
      <c r="F32" s="27"/>
      <c r="G32" s="25"/>
      <c r="L32" s="5"/>
    </row>
    <row r="33" spans="1:19" ht="14.25" customHeight="1">
      <c r="A33" s="35"/>
      <c r="B33" s="28" t="s">
        <v>70</v>
      </c>
      <c r="C33" s="28"/>
      <c r="D33" s="30"/>
      <c r="E33" s="31">
        <f>E34+E35</f>
        <v>44616</v>
      </c>
      <c r="F33" s="39"/>
      <c r="G33" s="43"/>
      <c r="H33" s="37"/>
      <c r="I33" s="37"/>
      <c r="J33" s="45"/>
      <c r="K33" s="46"/>
      <c r="L33" s="5"/>
    </row>
    <row r="34" spans="1:19" ht="14.25" customHeight="1">
      <c r="A34" s="34"/>
      <c r="C34" s="41" t="s">
        <v>71</v>
      </c>
      <c r="D34" s="26"/>
      <c r="E34" s="33">
        <v>44549</v>
      </c>
      <c r="F34" s="34"/>
      <c r="G34" s="25"/>
      <c r="H34" s="25"/>
      <c r="I34" s="25"/>
      <c r="J34" s="42"/>
      <c r="K34" s="33"/>
      <c r="L34" s="5"/>
    </row>
    <row r="35" spans="1:19" ht="14.25" customHeight="1">
      <c r="A35" s="41"/>
      <c r="C35" s="41" t="s">
        <v>72</v>
      </c>
      <c r="D35" s="26"/>
      <c r="E35" s="33">
        <v>67</v>
      </c>
      <c r="F35" s="34"/>
      <c r="H35" s="41"/>
      <c r="J35" s="51"/>
      <c r="K35" s="70"/>
      <c r="L35" s="5"/>
    </row>
    <row r="36" spans="1:19" ht="14.25" customHeight="1">
      <c r="A36" s="52"/>
      <c r="B36" s="52"/>
      <c r="C36" s="52"/>
      <c r="D36" s="52"/>
      <c r="E36" s="52"/>
      <c r="F36" s="35"/>
      <c r="G36" s="37"/>
      <c r="H36" s="37"/>
      <c r="I36" s="37"/>
      <c r="J36" s="45"/>
      <c r="K36" s="64"/>
      <c r="L36" s="5"/>
    </row>
    <row r="37" spans="1:19" ht="14.25" customHeight="1">
      <c r="A37" s="71" t="s">
        <v>73</v>
      </c>
      <c r="B37" s="16"/>
      <c r="C37" s="16"/>
      <c r="D37" s="48"/>
      <c r="E37" s="49">
        <f>E40+E44+E49</f>
        <v>1114439</v>
      </c>
      <c r="F37" s="27"/>
      <c r="G37" s="16" t="s">
        <v>74</v>
      </c>
      <c r="H37" s="16"/>
      <c r="I37" s="16"/>
      <c r="J37" s="42"/>
      <c r="K37" s="49">
        <f>K40+K45</f>
        <v>443866</v>
      </c>
      <c r="L37" s="5"/>
    </row>
    <row r="38" spans="1:19" ht="14.25" customHeight="1">
      <c r="A38" s="37"/>
      <c r="B38" s="52"/>
      <c r="C38" s="37"/>
      <c r="D38" s="38"/>
      <c r="E38" s="46"/>
      <c r="F38" s="39"/>
      <c r="G38" s="37"/>
      <c r="H38" s="37"/>
      <c r="I38" s="37"/>
      <c r="J38" s="45"/>
      <c r="K38" s="46"/>
      <c r="L38" s="72"/>
    </row>
    <row r="39" spans="1:19" ht="14.25" customHeight="1">
      <c r="A39" s="41"/>
      <c r="B39" s="50" t="s">
        <v>48</v>
      </c>
      <c r="C39" s="16"/>
      <c r="D39" s="48"/>
      <c r="E39" s="49"/>
      <c r="F39" s="34"/>
      <c r="H39" s="16" t="s">
        <v>75</v>
      </c>
      <c r="I39" s="50"/>
      <c r="J39" s="51"/>
      <c r="L39" s="72"/>
    </row>
    <row r="40" spans="1:19" ht="14.25" customHeight="1">
      <c r="A40" s="35"/>
      <c r="B40" s="36" t="s">
        <v>76</v>
      </c>
      <c r="C40" s="36"/>
      <c r="D40" s="30">
        <v>5</v>
      </c>
      <c r="E40" s="31">
        <f>E41+E42</f>
        <v>251748</v>
      </c>
      <c r="F40" s="35"/>
      <c r="G40" s="43"/>
      <c r="H40" s="28" t="s">
        <v>52</v>
      </c>
      <c r="I40" s="43"/>
      <c r="J40" s="45">
        <v>8</v>
      </c>
      <c r="K40" s="31">
        <f>SUM(K41:K43)</f>
        <v>403881</v>
      </c>
      <c r="L40" s="72"/>
    </row>
    <row r="41" spans="1:19" ht="14.25" customHeight="1">
      <c r="A41" s="25"/>
      <c r="C41" s="25" t="s">
        <v>51</v>
      </c>
      <c r="D41" s="26"/>
      <c r="E41" s="33">
        <v>253611</v>
      </c>
      <c r="F41" s="27"/>
      <c r="G41" s="41"/>
      <c r="H41" s="41"/>
      <c r="I41" s="41" t="s">
        <v>53</v>
      </c>
      <c r="J41" s="42"/>
      <c r="K41" s="33">
        <v>254673</v>
      </c>
      <c r="L41" s="72"/>
    </row>
    <row r="42" spans="1:19" ht="14.25" customHeight="1">
      <c r="A42" s="37"/>
      <c r="B42" s="52"/>
      <c r="C42" s="43" t="s">
        <v>77</v>
      </c>
      <c r="D42" s="38"/>
      <c r="E42" s="46">
        <v>-1863</v>
      </c>
      <c r="F42" s="54"/>
      <c r="G42" s="43"/>
      <c r="H42" s="43"/>
      <c r="I42" s="37" t="s">
        <v>55</v>
      </c>
      <c r="J42" s="45"/>
      <c r="K42" s="46">
        <v>25176</v>
      </c>
      <c r="L42" s="72"/>
      <c r="O42"/>
      <c r="P42"/>
      <c r="Q42"/>
      <c r="R42"/>
      <c r="S42"/>
    </row>
    <row r="43" spans="1:19" ht="14.25" customHeight="1">
      <c r="A43" s="41"/>
      <c r="C43" s="41"/>
      <c r="D43" s="26"/>
      <c r="E43" s="70"/>
      <c r="F43" s="34"/>
      <c r="G43" s="25"/>
      <c r="H43" s="25"/>
      <c r="I43" s="8" t="s">
        <v>78</v>
      </c>
      <c r="J43" s="51"/>
      <c r="K43" s="33">
        <v>124032</v>
      </c>
      <c r="L43" s="73"/>
      <c r="O43"/>
      <c r="P43"/>
      <c r="Q43"/>
      <c r="R43"/>
      <c r="S43"/>
    </row>
    <row r="44" spans="1:19" ht="14.25" customHeight="1">
      <c r="A44" s="35"/>
      <c r="B44" s="36" t="s">
        <v>79</v>
      </c>
      <c r="C44" s="36"/>
      <c r="D44" s="30">
        <v>6</v>
      </c>
      <c r="E44" s="31">
        <f>E46+E47+E45</f>
        <v>830118</v>
      </c>
      <c r="F44" s="39"/>
      <c r="G44" s="52"/>
      <c r="H44" s="43"/>
      <c r="I44" s="52"/>
      <c r="J44" s="40"/>
      <c r="K44" s="64"/>
      <c r="L44" s="73"/>
      <c r="O44"/>
      <c r="P44"/>
      <c r="Q44"/>
      <c r="R44"/>
      <c r="S44"/>
    </row>
    <row r="45" spans="1:19" ht="14.25" customHeight="1">
      <c r="C45" s="8" t="s">
        <v>56</v>
      </c>
      <c r="E45" s="74">
        <v>176369</v>
      </c>
      <c r="F45" s="27"/>
      <c r="G45" s="25"/>
      <c r="H45" s="47" t="s">
        <v>60</v>
      </c>
      <c r="I45" s="47"/>
      <c r="J45" s="42"/>
      <c r="K45" s="49">
        <f>K46+K47+K48</f>
        <v>39985</v>
      </c>
      <c r="L45" s="73"/>
      <c r="O45"/>
      <c r="P45"/>
      <c r="Q45"/>
      <c r="R45"/>
      <c r="S45"/>
    </row>
    <row r="46" spans="1:19" ht="14.25" customHeight="1">
      <c r="A46" s="37"/>
      <c r="B46" s="52"/>
      <c r="C46" s="37" t="s">
        <v>58</v>
      </c>
      <c r="D46" s="38"/>
      <c r="E46" s="46">
        <v>719388</v>
      </c>
      <c r="F46" s="39"/>
      <c r="G46" s="43"/>
      <c r="H46" s="43"/>
      <c r="I46" s="43" t="s">
        <v>65</v>
      </c>
      <c r="J46" s="45">
        <v>9</v>
      </c>
      <c r="K46" s="46">
        <v>1646</v>
      </c>
      <c r="L46" s="73"/>
      <c r="O46"/>
      <c r="P46"/>
      <c r="Q46"/>
      <c r="R46"/>
      <c r="S46"/>
    </row>
    <row r="47" spans="1:19" ht="14.25" customHeight="1">
      <c r="A47" s="41"/>
      <c r="C47" s="41" t="s">
        <v>59</v>
      </c>
      <c r="D47" s="26"/>
      <c r="E47" s="33">
        <v>-65639</v>
      </c>
      <c r="F47" s="34"/>
      <c r="G47" s="25"/>
      <c r="H47" s="25"/>
      <c r="I47" s="25" t="s">
        <v>67</v>
      </c>
      <c r="J47" s="42">
        <v>9</v>
      </c>
      <c r="K47" s="33">
        <v>37808</v>
      </c>
      <c r="L47" s="73"/>
      <c r="O47"/>
      <c r="P47"/>
      <c r="Q47"/>
      <c r="R47"/>
      <c r="S47"/>
    </row>
    <row r="48" spans="1:19" ht="14.25" customHeight="1">
      <c r="A48" s="35"/>
      <c r="B48" s="37"/>
      <c r="C48" s="37"/>
      <c r="D48" s="38"/>
      <c r="E48" s="64"/>
      <c r="F48" s="35"/>
      <c r="G48" s="52"/>
      <c r="H48" s="52"/>
      <c r="I48" s="52" t="s">
        <v>68</v>
      </c>
      <c r="J48" s="40">
        <v>9</v>
      </c>
      <c r="K48" s="46">
        <v>531</v>
      </c>
      <c r="L48" s="73"/>
      <c r="O48"/>
      <c r="P48"/>
      <c r="Q48"/>
      <c r="R48"/>
      <c r="S48"/>
    </row>
    <row r="49" spans="1:19" ht="14.25" customHeight="1">
      <c r="A49" s="34"/>
      <c r="B49" s="16" t="s">
        <v>62</v>
      </c>
      <c r="C49" s="16"/>
      <c r="D49" s="48"/>
      <c r="E49" s="75">
        <f>SUM(E50:E52)</f>
        <v>32573</v>
      </c>
      <c r="F49" s="27"/>
      <c r="J49" s="51"/>
      <c r="L49" s="73"/>
      <c r="O49"/>
      <c r="P49"/>
      <c r="Q49"/>
      <c r="R49"/>
      <c r="S49"/>
    </row>
    <row r="50" spans="1:19" ht="14.25" customHeight="1">
      <c r="A50" s="43"/>
      <c r="B50" s="52"/>
      <c r="C50" s="43" t="s">
        <v>64</v>
      </c>
      <c r="D50" s="30">
        <v>12</v>
      </c>
      <c r="E50" s="68">
        <v>32439</v>
      </c>
      <c r="F50" s="39"/>
      <c r="G50" s="52"/>
      <c r="H50" s="52"/>
      <c r="I50" s="52"/>
      <c r="J50" s="40"/>
      <c r="K50" s="52"/>
      <c r="L50" s="5"/>
      <c r="M50" s="76"/>
      <c r="O50"/>
      <c r="P50"/>
      <c r="Q50"/>
      <c r="R50"/>
      <c r="S50"/>
    </row>
    <row r="51" spans="1:19" ht="14.25" customHeight="1">
      <c r="A51" s="41"/>
      <c r="C51" s="41" t="s">
        <v>68</v>
      </c>
      <c r="D51" s="48"/>
      <c r="E51" s="69">
        <v>149</v>
      </c>
      <c r="F51" s="34"/>
      <c r="J51" s="51"/>
      <c r="L51" s="5"/>
      <c r="M51" s="76"/>
      <c r="O51"/>
      <c r="P51"/>
      <c r="Q51"/>
      <c r="R51"/>
      <c r="S51"/>
    </row>
    <row r="52" spans="1:19" ht="14.25" customHeight="1">
      <c r="A52" s="41"/>
      <c r="C52" s="41" t="s">
        <v>69</v>
      </c>
      <c r="D52" s="48"/>
      <c r="E52" s="69">
        <v>-15</v>
      </c>
      <c r="F52" s="34"/>
      <c r="J52" s="51"/>
      <c r="L52" s="5"/>
      <c r="M52" s="76"/>
      <c r="O52"/>
      <c r="P52"/>
      <c r="Q52"/>
      <c r="R52"/>
      <c r="S52"/>
    </row>
    <row r="53" spans="1:19" ht="14.25" customHeight="1">
      <c r="A53" s="24"/>
      <c r="B53" s="25"/>
      <c r="C53" s="25"/>
      <c r="D53" s="26"/>
      <c r="E53" s="70"/>
      <c r="F53" s="34"/>
      <c r="J53" s="51"/>
      <c r="L53" s="5"/>
      <c r="O53"/>
      <c r="P53"/>
      <c r="Q53"/>
      <c r="R53"/>
      <c r="S53"/>
    </row>
    <row r="54" spans="1:19" ht="14.25" customHeight="1">
      <c r="A54" s="44" t="s">
        <v>80</v>
      </c>
      <c r="B54" s="28"/>
      <c r="C54" s="28"/>
      <c r="D54" s="30">
        <v>7</v>
      </c>
      <c r="E54" s="31">
        <f>E56+E61</f>
        <v>33977</v>
      </c>
      <c r="F54" s="35"/>
      <c r="G54" s="29" t="s">
        <v>81</v>
      </c>
      <c r="H54" s="28"/>
      <c r="I54" s="29"/>
      <c r="J54" s="40">
        <v>10</v>
      </c>
      <c r="K54" s="31">
        <f>+K55+K57</f>
        <v>1122419</v>
      </c>
      <c r="L54" s="5"/>
      <c r="O54"/>
      <c r="P54"/>
      <c r="Q54"/>
      <c r="R54"/>
      <c r="S54"/>
    </row>
    <row r="55" spans="1:19" ht="14.25" customHeight="1">
      <c r="A55" s="25"/>
      <c r="C55" s="25"/>
      <c r="D55" s="26"/>
      <c r="E55" s="33"/>
      <c r="F55" s="27"/>
      <c r="G55" s="41"/>
      <c r="H55" s="41" t="s">
        <v>13</v>
      </c>
      <c r="I55" s="41"/>
      <c r="J55" s="26"/>
      <c r="K55" s="33">
        <f>+K56</f>
        <v>1041977</v>
      </c>
      <c r="L55" s="5"/>
      <c r="O55"/>
      <c r="P55"/>
      <c r="Q55"/>
      <c r="R55"/>
      <c r="S55"/>
    </row>
    <row r="56" spans="1:19" ht="14.25" customHeight="1">
      <c r="A56" s="43"/>
      <c r="B56" s="29" t="s">
        <v>4</v>
      </c>
      <c r="C56" s="28"/>
      <c r="D56" s="30"/>
      <c r="E56" s="31">
        <f>+E57+E58+E59</f>
        <v>30794</v>
      </c>
      <c r="F56" s="39"/>
      <c r="G56" s="37"/>
      <c r="H56" s="37"/>
      <c r="I56" s="37" t="s">
        <v>82</v>
      </c>
      <c r="J56" s="38"/>
      <c r="K56" s="46">
        <v>1041977</v>
      </c>
      <c r="L56" s="72"/>
    </row>
    <row r="57" spans="1:19" ht="14.25" customHeight="1">
      <c r="A57" s="34"/>
      <c r="B57" s="41"/>
      <c r="C57" s="41" t="s">
        <v>83</v>
      </c>
      <c r="D57" s="26"/>
      <c r="E57" s="33">
        <v>31761</v>
      </c>
      <c r="F57" s="27"/>
      <c r="H57" s="41" t="s">
        <v>14</v>
      </c>
      <c r="J57" s="26"/>
      <c r="K57" s="33">
        <v>80442</v>
      </c>
      <c r="L57" s="72"/>
      <c r="O57" s="53"/>
    </row>
    <row r="58" spans="1:19" ht="14.25" customHeight="1">
      <c r="A58" s="39"/>
      <c r="B58" s="43"/>
      <c r="C58" s="43" t="s">
        <v>84</v>
      </c>
      <c r="D58" s="38"/>
      <c r="E58" s="46">
        <v>1881</v>
      </c>
      <c r="F58" s="54"/>
      <c r="G58" s="52"/>
      <c r="H58" s="43"/>
      <c r="I58" s="52"/>
      <c r="J58" s="38"/>
      <c r="K58" s="46"/>
      <c r="L58" s="72"/>
      <c r="O58" s="53"/>
    </row>
    <row r="59" spans="1:19" ht="14.25" customHeight="1">
      <c r="A59" s="25"/>
      <c r="C59" s="25" t="s">
        <v>85</v>
      </c>
      <c r="D59" s="26"/>
      <c r="E59" s="33">
        <v>-2848</v>
      </c>
      <c r="F59" s="34"/>
      <c r="G59" s="25"/>
      <c r="H59" s="25"/>
      <c r="I59" s="77"/>
      <c r="J59" s="26"/>
      <c r="K59" s="70"/>
      <c r="L59" s="72"/>
      <c r="O59" s="53"/>
    </row>
    <row r="60" spans="1:19" ht="14.25" customHeight="1">
      <c r="A60" s="43"/>
      <c r="B60" s="52"/>
      <c r="C60" s="43"/>
      <c r="D60" s="38"/>
      <c r="E60" s="46"/>
      <c r="F60" s="39"/>
      <c r="G60" s="52"/>
      <c r="H60" s="43"/>
      <c r="I60" s="78"/>
      <c r="J60" s="38"/>
      <c r="K60" s="64"/>
      <c r="L60" s="76"/>
      <c r="O60" s="53"/>
    </row>
    <row r="61" spans="1:19" ht="14.25" customHeight="1">
      <c r="A61" s="24"/>
      <c r="B61" s="47" t="s">
        <v>5</v>
      </c>
      <c r="C61" s="47"/>
      <c r="D61" s="48"/>
      <c r="E61" s="49">
        <f>E62+E63</f>
        <v>3183</v>
      </c>
      <c r="F61" s="34"/>
      <c r="H61" s="41"/>
      <c r="J61" s="26"/>
      <c r="K61" s="33"/>
      <c r="L61" s="5"/>
      <c r="O61" s="53"/>
    </row>
    <row r="62" spans="1:19" ht="14.25" customHeight="1">
      <c r="A62" s="37"/>
      <c r="B62" s="52"/>
      <c r="C62" s="37" t="s">
        <v>86</v>
      </c>
      <c r="D62" s="38"/>
      <c r="E62" s="46">
        <v>5444</v>
      </c>
      <c r="F62" s="35"/>
      <c r="G62" s="37"/>
      <c r="H62" s="37"/>
      <c r="I62" s="79"/>
      <c r="J62" s="38"/>
      <c r="K62" s="46"/>
      <c r="L62" s="5"/>
      <c r="O62" s="53"/>
    </row>
    <row r="63" spans="1:19" ht="14.25" customHeight="1">
      <c r="A63" s="41"/>
      <c r="C63" s="41" t="s">
        <v>87</v>
      </c>
      <c r="D63" s="26"/>
      <c r="E63" s="33">
        <v>-2261</v>
      </c>
      <c r="F63" s="27"/>
      <c r="G63" s="41"/>
      <c r="H63" s="41"/>
      <c r="I63" s="41"/>
      <c r="J63" s="26"/>
      <c r="K63" s="33"/>
      <c r="L63" s="5"/>
      <c r="O63" s="53"/>
    </row>
    <row r="64" spans="1:19" ht="14.25" customHeight="1">
      <c r="A64" s="35"/>
      <c r="B64" s="37"/>
      <c r="C64" s="37"/>
      <c r="D64" s="38"/>
      <c r="E64" s="46"/>
      <c r="F64" s="35"/>
      <c r="G64" s="37"/>
      <c r="H64" s="37"/>
      <c r="I64" s="37"/>
      <c r="J64" s="38"/>
      <c r="K64" s="64"/>
      <c r="L64" s="7"/>
      <c r="O64" s="53"/>
    </row>
    <row r="65" spans="1:13" ht="14.25" customHeight="1" thickBot="1">
      <c r="A65" s="80"/>
      <c r="B65" s="80"/>
      <c r="C65" s="81" t="s">
        <v>88</v>
      </c>
      <c r="D65" s="81"/>
      <c r="E65" s="82">
        <f>E14+E37+E54</f>
        <v>1802158</v>
      </c>
      <c r="F65" s="80"/>
      <c r="G65" s="83"/>
      <c r="H65" s="81"/>
      <c r="I65" s="81" t="s">
        <v>89</v>
      </c>
      <c r="J65" s="81"/>
      <c r="K65" s="82">
        <f>K14+K37+K54</f>
        <v>1802158</v>
      </c>
      <c r="M65" s="53"/>
    </row>
    <row r="66" spans="1:13" ht="14.25" customHeight="1">
      <c r="F66" s="50"/>
      <c r="G66" s="84"/>
      <c r="H66" s="85"/>
      <c r="I66" s="85"/>
      <c r="J66" s="85"/>
      <c r="K66" s="49"/>
    </row>
    <row r="67" spans="1:13" s="50" customFormat="1" ht="13">
      <c r="A67" s="8"/>
      <c r="B67" s="8"/>
      <c r="C67" s="8"/>
      <c r="D67" s="8"/>
      <c r="E67" s="53"/>
      <c r="G67" s="84"/>
      <c r="H67" s="85"/>
      <c r="I67" s="85"/>
      <c r="J67" s="85"/>
      <c r="K67" s="49"/>
      <c r="L67" s="8"/>
    </row>
    <row r="68" spans="1:13" ht="13">
      <c r="A68" s="50"/>
      <c r="B68" s="50"/>
      <c r="C68" s="85"/>
      <c r="D68" s="85"/>
      <c r="E68" s="49"/>
      <c r="K68" s="53"/>
    </row>
    <row r="69" spans="1:13">
      <c r="A69" s="86" t="s">
        <v>90</v>
      </c>
      <c r="K69" s="53"/>
    </row>
    <row r="72" spans="1:13">
      <c r="E72" s="53"/>
      <c r="F72" s="53"/>
      <c r="K72" s="53"/>
    </row>
    <row r="73" spans="1:13">
      <c r="E73" s="53"/>
    </row>
    <row r="79" spans="1:13">
      <c r="E79" s="53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9170C-7365-4401-A525-088F345DE639}">
  <dimension ref="A1:P131"/>
  <sheetViews>
    <sheetView topLeftCell="A22" workbookViewId="0">
      <selection activeCell="K48" activeCellId="5" sqref="K26 K27 K28 K30 K46 K48"/>
    </sheetView>
  </sheetViews>
  <sheetFormatPr defaultColWidth="9.7265625" defaultRowHeight="12.5"/>
  <cols>
    <col min="1" max="1" width="1.81640625" style="93" customWidth="1"/>
    <col min="2" max="2" width="56.7265625" style="93" customWidth="1"/>
    <col min="3" max="3" width="5.7265625" style="93" customWidth="1"/>
    <col min="4" max="4" width="2.7265625" style="93" customWidth="1"/>
    <col min="5" max="5" width="11.453125" style="93" bestFit="1" customWidth="1"/>
    <col min="6" max="6" width="10.1796875" style="93" customWidth="1"/>
    <col min="7" max="7" width="2.7265625" style="93" customWidth="1"/>
    <col min="8" max="8" width="16.81640625" style="93" bestFit="1" customWidth="1"/>
    <col min="9" max="10" width="9.7265625" style="93"/>
    <col min="11" max="11" width="24" style="93" customWidth="1"/>
    <col min="12" max="16384" width="9.7265625" style="93"/>
  </cols>
  <sheetData>
    <row r="1" spans="1:16" s="8" customFormat="1" ht="14">
      <c r="A1" s="157" t="s">
        <v>36</v>
      </c>
      <c r="B1" s="160"/>
      <c r="C1" s="160"/>
      <c r="D1" s="160"/>
      <c r="E1" s="160"/>
      <c r="F1" s="161"/>
      <c r="G1" s="160"/>
      <c r="H1" s="5"/>
      <c r="I1" s="5"/>
      <c r="J1" s="5"/>
      <c r="K1" s="5"/>
      <c r="L1" s="5"/>
      <c r="M1" s="5"/>
      <c r="N1" s="7"/>
      <c r="O1" s="7"/>
      <c r="P1" s="5"/>
    </row>
    <row r="2" spans="1:16" s="5" customFormat="1" ht="14">
      <c r="A2" s="157"/>
      <c r="B2" s="160"/>
      <c r="C2" s="160"/>
      <c r="D2" s="160"/>
      <c r="E2" s="160"/>
      <c r="F2" s="160"/>
      <c r="G2" s="160"/>
    </row>
    <row r="3" spans="1:16" s="5" customFormat="1" ht="14">
      <c r="A3" s="158" t="s">
        <v>91</v>
      </c>
      <c r="B3" s="160"/>
      <c r="C3" s="160"/>
      <c r="D3" s="160"/>
      <c r="E3" s="160"/>
      <c r="F3" s="160"/>
      <c r="G3" s="160"/>
    </row>
    <row r="4" spans="1:16" s="5" customFormat="1" ht="16.5" customHeight="1">
      <c r="A4" s="158"/>
      <c r="B4" s="160"/>
      <c r="C4" s="160"/>
      <c r="D4" s="160"/>
      <c r="E4" s="160"/>
      <c r="F4" s="160"/>
      <c r="G4" s="160"/>
    </row>
    <row r="5" spans="1:16" s="8" customFormat="1" ht="18.75" customHeight="1">
      <c r="A5" s="167" t="s">
        <v>200</v>
      </c>
      <c r="B5" s="167"/>
      <c r="C5" s="166"/>
      <c r="D5" s="166"/>
      <c r="E5" s="166"/>
      <c r="F5" s="166"/>
      <c r="G5" s="166"/>
      <c r="H5" s="87"/>
      <c r="I5" s="87"/>
      <c r="J5" s="87"/>
      <c r="K5" s="87"/>
      <c r="L5" s="88"/>
    </row>
    <row r="6" spans="1:16" s="5" customFormat="1" ht="16.5" customHeight="1">
      <c r="A6" s="159"/>
      <c r="B6" s="160"/>
      <c r="C6" s="160"/>
      <c r="D6" s="160"/>
      <c r="E6" s="160"/>
      <c r="F6" s="160"/>
      <c r="G6" s="160"/>
    </row>
    <row r="7" spans="1:16" s="5" customFormat="1" ht="14.25" customHeight="1">
      <c r="A7" s="172" t="s">
        <v>39</v>
      </c>
      <c r="B7" s="160"/>
      <c r="C7" s="160"/>
      <c r="D7" s="160"/>
      <c r="E7" s="160"/>
      <c r="F7" s="160"/>
      <c r="G7" s="160"/>
    </row>
    <row r="8" spans="1:16" s="5" customFormat="1" ht="14.25" customHeight="1">
      <c r="A8" s="162"/>
      <c r="B8" s="160"/>
      <c r="C8" s="160"/>
      <c r="D8" s="160"/>
      <c r="E8" s="160"/>
      <c r="F8" s="160"/>
      <c r="G8" s="160"/>
    </row>
    <row r="9" spans="1:16" s="5" customFormat="1" ht="14.25" customHeight="1">
      <c r="A9" s="162"/>
      <c r="B9" s="160"/>
      <c r="C9" s="160"/>
      <c r="D9" s="160"/>
      <c r="E9" s="160"/>
      <c r="F9" s="160"/>
      <c r="G9" s="160"/>
    </row>
    <row r="10" spans="1:16" s="5" customFormat="1" ht="14.25" customHeight="1">
      <c r="A10" s="162"/>
      <c r="B10" s="160"/>
      <c r="C10" s="160"/>
      <c r="D10" s="160"/>
      <c r="E10" s="160"/>
      <c r="F10" s="160"/>
      <c r="G10" s="160"/>
      <c r="K10" s="8"/>
    </row>
    <row r="11" spans="1:16" s="5" customFormat="1" ht="14.25" customHeight="1">
      <c r="A11" s="165"/>
      <c r="B11" s="160"/>
      <c r="C11" s="160"/>
      <c r="D11" s="160"/>
      <c r="E11" s="160"/>
      <c r="F11" s="160"/>
      <c r="G11" s="160"/>
      <c r="K11" s="8"/>
    </row>
    <row r="12" spans="1:16" s="5" customFormat="1" ht="13">
      <c r="A12" s="173"/>
      <c r="B12" s="173"/>
      <c r="C12" s="173"/>
      <c r="D12" s="174"/>
      <c r="E12" s="183" t="s">
        <v>201</v>
      </c>
      <c r="F12" s="183" t="s">
        <v>201</v>
      </c>
      <c r="G12" s="174"/>
      <c r="K12" s="90"/>
    </row>
    <row r="13" spans="1:16" s="5" customFormat="1" ht="13">
      <c r="A13" s="175"/>
      <c r="B13" s="175"/>
      <c r="C13" s="176" t="s">
        <v>41</v>
      </c>
      <c r="D13" s="177"/>
      <c r="E13" s="177">
        <v>2019</v>
      </c>
      <c r="F13" s="177">
        <v>2018</v>
      </c>
      <c r="G13" s="177"/>
    </row>
    <row r="14" spans="1:16" s="5" customFormat="1">
      <c r="A14" s="164"/>
      <c r="B14" s="164"/>
      <c r="C14" s="164"/>
      <c r="D14" s="179"/>
      <c r="E14" s="179"/>
      <c r="F14" s="179"/>
      <c r="G14" s="164"/>
    </row>
    <row r="15" spans="1:16" s="92" customFormat="1" ht="13">
      <c r="A15" s="169" t="s">
        <v>95</v>
      </c>
      <c r="B15" s="169"/>
      <c r="C15" s="169"/>
      <c r="D15" s="180"/>
      <c r="E15" s="180">
        <v>92188</v>
      </c>
      <c r="F15" s="180">
        <v>78096</v>
      </c>
      <c r="G15" s="169"/>
    </row>
    <row r="16" spans="1:16" s="92" customFormat="1" ht="13">
      <c r="A16" s="164"/>
      <c r="B16" s="164" t="s">
        <v>54</v>
      </c>
      <c r="C16" s="164"/>
      <c r="D16" s="179"/>
      <c r="E16" s="164">
        <v>70709</v>
      </c>
      <c r="F16" s="164">
        <v>63790</v>
      </c>
      <c r="G16" s="164"/>
    </row>
    <row r="17" spans="1:12">
      <c r="A17" s="168"/>
      <c r="B17" s="168" t="s">
        <v>96</v>
      </c>
      <c r="C17" s="168"/>
      <c r="D17" s="181"/>
      <c r="E17" s="181">
        <v>21479</v>
      </c>
      <c r="F17" s="181">
        <v>14306</v>
      </c>
      <c r="G17" s="168"/>
    </row>
    <row r="18" spans="1:12">
      <c r="A18" s="164"/>
      <c r="B18" s="164"/>
      <c r="C18" s="164"/>
      <c r="D18" s="179"/>
      <c r="E18" s="179"/>
      <c r="F18" s="179"/>
      <c r="G18" s="164"/>
    </row>
    <row r="19" spans="1:12" ht="13">
      <c r="A19" s="169" t="s">
        <v>97</v>
      </c>
      <c r="B19" s="169"/>
      <c r="C19" s="169"/>
      <c r="D19" s="180"/>
      <c r="E19" s="180">
        <v>-42841</v>
      </c>
      <c r="F19" s="180">
        <v>-47963</v>
      </c>
      <c r="G19" s="169"/>
    </row>
    <row r="20" spans="1:12" s="92" customFormat="1" ht="13">
      <c r="A20" s="164"/>
      <c r="B20" s="164" t="s">
        <v>98</v>
      </c>
      <c r="C20" s="164"/>
      <c r="D20" s="179"/>
      <c r="E20" s="164">
        <v>-23680</v>
      </c>
      <c r="F20" s="164">
        <v>-17652</v>
      </c>
      <c r="G20" s="164"/>
    </row>
    <row r="21" spans="1:12" s="92" customFormat="1" ht="13">
      <c r="A21" s="168"/>
      <c r="B21" s="168" t="s">
        <v>99</v>
      </c>
      <c r="C21" s="168"/>
      <c r="D21" s="181"/>
      <c r="E21" s="181">
        <v>-19161</v>
      </c>
      <c r="F21" s="181">
        <v>-30311</v>
      </c>
      <c r="G21" s="168"/>
    </row>
    <row r="22" spans="1:12" s="92" customFormat="1" ht="13">
      <c r="A22" s="164"/>
      <c r="B22" s="164"/>
      <c r="C22" s="164"/>
      <c r="D22" s="179"/>
      <c r="E22" s="179"/>
      <c r="F22" s="179"/>
      <c r="G22" s="164"/>
    </row>
    <row r="23" spans="1:12" ht="13">
      <c r="A23" s="169" t="s">
        <v>100</v>
      </c>
      <c r="B23" s="169"/>
      <c r="C23" s="169"/>
      <c r="D23" s="180"/>
      <c r="E23" s="169">
        <v>49347</v>
      </c>
      <c r="F23" s="169">
        <v>30133</v>
      </c>
      <c r="G23" s="169"/>
    </row>
    <row r="24" spans="1:12">
      <c r="A24" s="164"/>
      <c r="B24" s="164"/>
      <c r="C24" s="164"/>
      <c r="D24" s="179"/>
      <c r="E24" s="179"/>
      <c r="F24" s="179"/>
      <c r="G24" s="164"/>
    </row>
    <row r="25" spans="1:12" s="92" customFormat="1" ht="13">
      <c r="A25" s="169" t="s">
        <v>101</v>
      </c>
      <c r="B25" s="169"/>
      <c r="C25" s="169"/>
      <c r="D25" s="180"/>
      <c r="E25" s="169">
        <v>-22604</v>
      </c>
      <c r="F25" s="169">
        <v>-24702</v>
      </c>
      <c r="G25" s="169"/>
    </row>
    <row r="26" spans="1:12" s="92" customFormat="1" ht="14.5">
      <c r="A26" s="164"/>
      <c r="B26" s="164" t="s">
        <v>202</v>
      </c>
      <c r="C26" s="170">
        <v>11</v>
      </c>
      <c r="D26" s="179"/>
      <c r="E26" s="164">
        <v>4646</v>
      </c>
      <c r="F26" s="164">
        <v>2883</v>
      </c>
      <c r="G26" s="164"/>
      <c r="H26"/>
      <c r="I26"/>
      <c r="J26"/>
      <c r="K26"/>
      <c r="L26"/>
    </row>
    <row r="27" spans="1:12" s="92" customFormat="1" ht="13">
      <c r="A27" s="168"/>
      <c r="B27" s="168" t="s">
        <v>102</v>
      </c>
      <c r="C27" s="168"/>
      <c r="D27" s="181"/>
      <c r="E27" s="181">
        <v>1575</v>
      </c>
      <c r="F27" s="181">
        <v>2627</v>
      </c>
      <c r="G27" s="168"/>
    </row>
    <row r="28" spans="1:12" s="92" customFormat="1" ht="13">
      <c r="A28" s="164"/>
      <c r="B28" s="164" t="s">
        <v>103</v>
      </c>
      <c r="C28" s="170">
        <v>11</v>
      </c>
      <c r="D28" s="179"/>
      <c r="E28" s="179">
        <v>-18217</v>
      </c>
      <c r="F28" s="179">
        <v>-18131</v>
      </c>
      <c r="G28" s="164"/>
    </row>
    <row r="29" spans="1:12" s="92" customFormat="1" ht="13">
      <c r="A29" s="168"/>
      <c r="B29" s="168" t="s">
        <v>104</v>
      </c>
      <c r="C29" s="169">
        <v>11</v>
      </c>
      <c r="D29" s="181"/>
      <c r="E29" s="168">
        <v>-7373</v>
      </c>
      <c r="F29" s="168">
        <v>-8952</v>
      </c>
      <c r="G29" s="168"/>
    </row>
    <row r="30" spans="1:12" ht="13">
      <c r="A30" s="164"/>
      <c r="B30" s="164" t="s">
        <v>105</v>
      </c>
      <c r="C30" s="170">
        <v>11</v>
      </c>
      <c r="D30" s="179"/>
      <c r="E30" s="179">
        <v>-3914</v>
      </c>
      <c r="F30" s="179">
        <v>-3056</v>
      </c>
      <c r="G30" s="164"/>
    </row>
    <row r="31" spans="1:12" ht="13">
      <c r="A31" s="168"/>
      <c r="B31" s="168" t="s">
        <v>106</v>
      </c>
      <c r="C31" s="169"/>
      <c r="D31" s="181"/>
      <c r="E31" s="181">
        <v>896</v>
      </c>
      <c r="F31" s="181">
        <v>640</v>
      </c>
      <c r="G31" s="168"/>
    </row>
    <row r="32" spans="1:12">
      <c r="A32" s="164"/>
      <c r="B32" s="164" t="s">
        <v>107</v>
      </c>
      <c r="C32" s="164"/>
      <c r="D32" s="179"/>
      <c r="E32" s="179">
        <v>-217</v>
      </c>
      <c r="F32" s="179">
        <v>-713</v>
      </c>
      <c r="G32" s="164"/>
    </row>
    <row r="33" spans="1:7">
      <c r="A33" s="168"/>
      <c r="B33" s="168"/>
      <c r="C33" s="168"/>
      <c r="D33" s="181"/>
      <c r="E33" s="181"/>
      <c r="F33" s="181"/>
      <c r="G33" s="168"/>
    </row>
    <row r="34" spans="1:7" ht="13">
      <c r="A34" s="170" t="s">
        <v>108</v>
      </c>
      <c r="B34" s="170"/>
      <c r="C34" s="170"/>
      <c r="D34" s="182"/>
      <c r="E34" s="170">
        <v>26743</v>
      </c>
      <c r="F34" s="170">
        <v>5431</v>
      </c>
      <c r="G34" s="170"/>
    </row>
    <row r="35" spans="1:7">
      <c r="A35" s="168"/>
      <c r="B35" s="168"/>
      <c r="C35" s="168"/>
      <c r="D35" s="181"/>
      <c r="E35" s="168"/>
      <c r="F35" s="168"/>
      <c r="G35" s="168"/>
    </row>
    <row r="36" spans="1:7" ht="13">
      <c r="A36" s="170" t="s">
        <v>109</v>
      </c>
      <c r="B36" s="170"/>
      <c r="C36" s="170"/>
      <c r="D36" s="182"/>
      <c r="E36" s="182">
        <v>11</v>
      </c>
      <c r="F36" s="182">
        <v>-177</v>
      </c>
      <c r="G36" s="170"/>
    </row>
    <row r="37" spans="1:7" s="92" customFormat="1" ht="13">
      <c r="A37" s="168"/>
      <c r="B37" s="168"/>
      <c r="C37" s="168"/>
      <c r="D37" s="181"/>
      <c r="E37" s="181"/>
      <c r="F37" s="181"/>
      <c r="G37" s="168"/>
    </row>
    <row r="38" spans="1:7" ht="13">
      <c r="A38" s="170" t="s">
        <v>110</v>
      </c>
      <c r="B38" s="170"/>
      <c r="C38" s="170"/>
      <c r="D38" s="182"/>
      <c r="E38" s="170">
        <v>26754</v>
      </c>
      <c r="F38" s="170">
        <v>5254</v>
      </c>
      <c r="G38" s="170"/>
    </row>
    <row r="39" spans="1:7">
      <c r="A39" s="168"/>
      <c r="B39" s="168"/>
      <c r="C39" s="168"/>
      <c r="D39" s="181"/>
      <c r="E39" s="181"/>
      <c r="F39" s="181"/>
      <c r="G39" s="168"/>
    </row>
    <row r="40" spans="1:7" s="92" customFormat="1" ht="13">
      <c r="A40" s="170" t="s">
        <v>111</v>
      </c>
      <c r="B40" s="170"/>
      <c r="C40" s="170"/>
      <c r="D40" s="182"/>
      <c r="E40" s="170">
        <v>-6633</v>
      </c>
      <c r="F40" s="170">
        <v>-3937</v>
      </c>
      <c r="G40" s="170"/>
    </row>
    <row r="41" spans="1:7" ht="13">
      <c r="A41" s="168"/>
      <c r="B41" s="168" t="s">
        <v>112</v>
      </c>
      <c r="C41" s="169">
        <v>12</v>
      </c>
      <c r="D41" s="181"/>
      <c r="E41" s="181">
        <v>-4662</v>
      </c>
      <c r="F41" s="181">
        <v>-5608</v>
      </c>
      <c r="G41" s="168"/>
    </row>
    <row r="42" spans="1:7" ht="13">
      <c r="A42" s="164"/>
      <c r="B42" s="164" t="s">
        <v>113</v>
      </c>
      <c r="C42" s="170">
        <v>12</v>
      </c>
      <c r="D42" s="179"/>
      <c r="E42" s="179">
        <v>-2876</v>
      </c>
      <c r="F42" s="179">
        <v>-4444</v>
      </c>
      <c r="G42" s="164"/>
    </row>
    <row r="43" spans="1:7" ht="13">
      <c r="A43" s="168"/>
      <c r="B43" s="168" t="s">
        <v>114</v>
      </c>
      <c r="C43" s="169">
        <v>12</v>
      </c>
      <c r="D43" s="181"/>
      <c r="E43" s="181">
        <v>905</v>
      </c>
      <c r="F43" s="181">
        <v>6115</v>
      </c>
      <c r="G43" s="168"/>
    </row>
    <row r="44" spans="1:7" s="92" customFormat="1" ht="13">
      <c r="A44" s="164"/>
      <c r="B44" s="164"/>
      <c r="C44" s="164"/>
      <c r="D44" s="179"/>
      <c r="E44" s="179"/>
      <c r="F44" s="179"/>
      <c r="G44" s="164"/>
    </row>
    <row r="45" spans="1:7" ht="13">
      <c r="A45" s="169" t="s">
        <v>115</v>
      </c>
      <c r="B45" s="169"/>
      <c r="C45" s="169"/>
      <c r="D45" s="180"/>
      <c r="E45" s="180">
        <v>-1203</v>
      </c>
      <c r="F45" s="180">
        <v>-6</v>
      </c>
      <c r="G45" s="169"/>
    </row>
    <row r="46" spans="1:7" s="92" customFormat="1" ht="13">
      <c r="A46" s="164"/>
      <c r="B46" s="164"/>
      <c r="C46" s="164"/>
      <c r="D46" s="179"/>
      <c r="E46" s="179"/>
      <c r="F46" s="179"/>
      <c r="G46" s="164"/>
    </row>
    <row r="47" spans="1:7" ht="13">
      <c r="A47" s="169" t="s">
        <v>116</v>
      </c>
      <c r="B47" s="169"/>
      <c r="C47" s="169"/>
      <c r="D47" s="180"/>
      <c r="E47" s="169">
        <v>18918</v>
      </c>
      <c r="F47" s="169">
        <v>1311</v>
      </c>
      <c r="G47" s="169"/>
    </row>
    <row r="48" spans="1:7" ht="14.25" customHeight="1">
      <c r="A48" s="164"/>
      <c r="B48" s="164"/>
      <c r="C48" s="164"/>
      <c r="D48" s="179"/>
      <c r="E48" s="179"/>
      <c r="F48" s="179"/>
      <c r="G48" s="164"/>
    </row>
    <row r="49" spans="1:7" ht="14.25" customHeight="1" thickBot="1">
      <c r="A49" s="178" t="s">
        <v>203</v>
      </c>
      <c r="B49" s="178"/>
      <c r="C49" s="178">
        <v>10</v>
      </c>
      <c r="D49" s="184"/>
      <c r="E49" s="184">
        <v>0</v>
      </c>
      <c r="F49" s="184">
        <v>-1245</v>
      </c>
      <c r="G49" s="178"/>
    </row>
    <row r="50" spans="1:7" ht="14.25" customHeight="1">
      <c r="A50" s="185"/>
      <c r="B50" s="185"/>
      <c r="C50" s="185"/>
      <c r="D50" s="186"/>
      <c r="E50" s="186"/>
      <c r="F50" s="186"/>
      <c r="G50" s="185"/>
    </row>
    <row r="51" spans="1:7" ht="14.25" customHeight="1" thickBot="1">
      <c r="A51" s="178" t="s">
        <v>117</v>
      </c>
      <c r="B51" s="178"/>
      <c r="C51" s="178">
        <v>10</v>
      </c>
      <c r="D51" s="187"/>
      <c r="E51" s="188">
        <v>1.8918000000000001E-2</v>
      </c>
      <c r="F51" s="188">
        <v>1.3110000000000001E-3</v>
      </c>
      <c r="G51" s="188"/>
    </row>
    <row r="52" spans="1:7" ht="14.25" customHeight="1">
      <c r="A52" s="171" t="s">
        <v>90</v>
      </c>
      <c r="B52" s="163"/>
      <c r="C52" s="163"/>
      <c r="D52" s="156"/>
      <c r="E52" s="156"/>
      <c r="F52" s="156"/>
      <c r="G52" s="156"/>
    </row>
    <row r="53" spans="1:7" ht="14.25" customHeight="1">
      <c r="A53" s="94"/>
      <c r="B53" s="94"/>
      <c r="C53" s="94"/>
      <c r="D53" s="94"/>
      <c r="E53" s="94"/>
      <c r="G53" s="94"/>
    </row>
    <row r="54" spans="1:7" ht="14.25" customHeight="1"/>
    <row r="55" spans="1:7" ht="14.25" customHeight="1"/>
    <row r="56" spans="1:7" ht="14.25" customHeight="1"/>
    <row r="57" spans="1:7" ht="14.25" customHeight="1"/>
    <row r="58" spans="1:7" ht="14.25" customHeight="1"/>
    <row r="59" spans="1:7" ht="14.25" customHeight="1"/>
    <row r="60" spans="1:7" ht="14.25" customHeight="1"/>
    <row r="61" spans="1:7" ht="14.25" customHeight="1"/>
    <row r="62" spans="1:7" ht="14.25" customHeight="1"/>
    <row r="63" spans="1:7" ht="14.25" customHeight="1"/>
    <row r="64" spans="1:7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C1C6D-84A3-48CE-AF69-79EF8BC7DF49}">
  <dimension ref="A1:O60"/>
  <sheetViews>
    <sheetView topLeftCell="A43" workbookViewId="0">
      <selection activeCell="K48" activeCellId="5" sqref="K26 K27 K28 K30 K46 K48"/>
    </sheetView>
  </sheetViews>
  <sheetFormatPr defaultColWidth="9.1796875" defaultRowHeight="12.5"/>
  <cols>
    <col min="1" max="1" width="2" style="8" customWidth="1"/>
    <col min="2" max="2" width="38.26953125" style="8" customWidth="1"/>
    <col min="3" max="3" width="10.26953125" style="88" customWidth="1"/>
    <col min="4" max="5" width="2.54296875" style="88" customWidth="1"/>
    <col min="6" max="6" width="9.81640625" style="88" customWidth="1"/>
    <col min="7" max="7" width="2.54296875" style="88" customWidth="1"/>
    <col min="8" max="8" width="9.453125" style="88" customWidth="1"/>
    <col min="9" max="9" width="2.54296875" style="88" customWidth="1"/>
    <col min="10" max="10" width="12" style="88" customWidth="1"/>
    <col min="11" max="11" width="2.54296875" style="88" customWidth="1"/>
    <col min="12" max="12" width="10.26953125" style="88" customWidth="1"/>
    <col min="13" max="16384" width="9.1796875" style="8"/>
  </cols>
  <sheetData>
    <row r="1" spans="1:15" ht="14">
      <c r="A1" s="4" t="s">
        <v>36</v>
      </c>
      <c r="B1" s="95"/>
      <c r="C1" s="5"/>
      <c r="D1" s="5"/>
      <c r="E1" s="5"/>
      <c r="F1" s="6"/>
      <c r="G1" s="5"/>
      <c r="H1" s="5"/>
      <c r="I1" s="5"/>
      <c r="J1" s="5"/>
      <c r="K1" s="5"/>
      <c r="L1" s="5"/>
      <c r="M1" s="7"/>
      <c r="N1" s="7"/>
      <c r="O1" s="5"/>
    </row>
    <row r="2" spans="1:15" ht="14">
      <c r="A2" s="4"/>
      <c r="B2" s="4"/>
    </row>
    <row r="3" spans="1:15" ht="14">
      <c r="A3" s="9" t="s">
        <v>118</v>
      </c>
      <c r="B3" s="9"/>
    </row>
    <row r="4" spans="1:15" ht="18.75" customHeight="1">
      <c r="A4" s="9"/>
      <c r="B4" s="9"/>
    </row>
    <row r="5" spans="1:15" ht="18.75" customHeight="1">
      <c r="A5" s="14" t="s">
        <v>92</v>
      </c>
      <c r="B5" s="14"/>
      <c r="C5" s="87"/>
      <c r="D5" s="87"/>
      <c r="E5" s="87"/>
      <c r="F5" s="87"/>
      <c r="G5" s="87"/>
      <c r="H5" s="87"/>
      <c r="I5" s="87"/>
      <c r="J5" s="87"/>
      <c r="K5" s="87"/>
    </row>
    <row r="6" spans="1:15">
      <c r="A6" s="89"/>
      <c r="B6" s="89"/>
    </row>
    <row r="7" spans="1:15" ht="13">
      <c r="A7" s="17" t="s">
        <v>39</v>
      </c>
      <c r="B7" s="18"/>
    </row>
    <row r="8" spans="1:15" ht="13">
      <c r="A8" s="18"/>
      <c r="B8" s="18"/>
    </row>
    <row r="9" spans="1:15" ht="13">
      <c r="A9" s="18"/>
      <c r="B9" s="18"/>
    </row>
    <row r="10" spans="1:15" ht="13">
      <c r="A10" s="18"/>
      <c r="B10" s="18"/>
    </row>
    <row r="11" spans="1:15" ht="20.25" customHeight="1">
      <c r="A11" s="96"/>
      <c r="B11" s="96"/>
      <c r="C11" s="97"/>
      <c r="D11" s="97"/>
      <c r="E11" s="97"/>
      <c r="F11" s="314" t="s">
        <v>14</v>
      </c>
      <c r="G11" s="314"/>
      <c r="H11" s="314"/>
      <c r="I11" s="98"/>
      <c r="J11" s="97"/>
      <c r="K11" s="98"/>
      <c r="L11" s="99"/>
    </row>
    <row r="12" spans="1:15" ht="13">
      <c r="A12" s="100"/>
      <c r="B12" s="100"/>
      <c r="C12" s="101" t="s">
        <v>119</v>
      </c>
      <c r="D12" s="101"/>
      <c r="E12" s="101"/>
      <c r="F12" s="315" t="s">
        <v>120</v>
      </c>
      <c r="G12" s="101"/>
      <c r="H12" s="101" t="s">
        <v>121</v>
      </c>
      <c r="I12" s="101"/>
      <c r="J12" s="101" t="s">
        <v>122</v>
      </c>
      <c r="K12" s="101"/>
      <c r="L12" s="101"/>
    </row>
    <row r="13" spans="1:15" ht="13">
      <c r="A13" s="102"/>
      <c r="B13" s="102"/>
      <c r="C13" s="103" t="s">
        <v>123</v>
      </c>
      <c r="D13" s="103"/>
      <c r="E13" s="103"/>
      <c r="F13" s="316"/>
      <c r="G13" s="103"/>
      <c r="H13" s="103" t="s">
        <v>124</v>
      </c>
      <c r="I13" s="103"/>
      <c r="J13" s="103" t="s">
        <v>125</v>
      </c>
      <c r="K13" s="103"/>
      <c r="L13" s="103" t="s">
        <v>126</v>
      </c>
    </row>
    <row r="14" spans="1:1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5" ht="13">
      <c r="A15" s="49" t="s">
        <v>127</v>
      </c>
      <c r="B15" s="49"/>
      <c r="C15" s="49">
        <v>1000000</v>
      </c>
      <c r="D15" s="49"/>
      <c r="E15" s="49"/>
      <c r="F15" s="49">
        <v>15226</v>
      </c>
      <c r="G15" s="49"/>
      <c r="H15" s="49">
        <v>44937</v>
      </c>
      <c r="I15" s="49"/>
      <c r="J15" s="49">
        <v>0</v>
      </c>
      <c r="K15" s="49"/>
      <c r="L15" s="49">
        <f>SUM(C15:J15)</f>
        <v>1060163</v>
      </c>
    </row>
    <row r="16" spans="1:1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1:12">
      <c r="A17" s="33" t="s">
        <v>128</v>
      </c>
      <c r="B17" s="33"/>
      <c r="C17" s="33">
        <v>16035</v>
      </c>
      <c r="D17" s="33"/>
      <c r="E17" s="33"/>
      <c r="F17" s="33">
        <v>0</v>
      </c>
      <c r="G17" s="33"/>
      <c r="H17" s="33">
        <v>0</v>
      </c>
      <c r="I17" s="33"/>
      <c r="J17" s="33">
        <v>0</v>
      </c>
      <c r="K17" s="33"/>
      <c r="L17" s="69">
        <f>SUM(C17:J17)</f>
        <v>16035</v>
      </c>
    </row>
    <row r="18" spans="1:1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>
      <c r="A19" s="33" t="s">
        <v>129</v>
      </c>
      <c r="B19" s="33"/>
      <c r="C19" s="33">
        <v>0</v>
      </c>
      <c r="D19" s="33"/>
      <c r="E19" s="33"/>
      <c r="F19" s="33">
        <v>0</v>
      </c>
      <c r="G19" s="33"/>
      <c r="H19" s="33">
        <v>-15443</v>
      </c>
      <c r="I19" s="33"/>
      <c r="J19" s="33">
        <v>0</v>
      </c>
      <c r="K19" s="33"/>
      <c r="L19" s="69">
        <f>SUM(C19:J19)</f>
        <v>-15443</v>
      </c>
    </row>
    <row r="20" spans="1:12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2">
      <c r="A21" s="33" t="s">
        <v>130</v>
      </c>
      <c r="B21" s="33"/>
      <c r="C21" s="33">
        <v>0</v>
      </c>
      <c r="D21" s="33"/>
      <c r="E21" s="33"/>
      <c r="F21" s="33">
        <v>0</v>
      </c>
      <c r="G21" s="33"/>
      <c r="H21" s="33">
        <v>-1279</v>
      </c>
      <c r="I21" s="33"/>
      <c r="J21" s="33">
        <v>0</v>
      </c>
      <c r="K21" s="33"/>
      <c r="L21" s="69">
        <f>SUM(C21:J21)</f>
        <v>-1279</v>
      </c>
    </row>
    <row r="22" spans="1:1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</row>
    <row r="23" spans="1:12">
      <c r="A23" s="33" t="s">
        <v>131</v>
      </c>
      <c r="B23" s="33"/>
      <c r="C23" s="69">
        <v>0</v>
      </c>
      <c r="D23" s="69"/>
      <c r="E23" s="69"/>
      <c r="F23" s="69">
        <v>0</v>
      </c>
      <c r="G23" s="69"/>
      <c r="H23" s="69">
        <v>0</v>
      </c>
      <c r="I23" s="69"/>
      <c r="J23" s="69">
        <v>14736</v>
      </c>
      <c r="K23" s="69"/>
      <c r="L23" s="69">
        <f>J23</f>
        <v>14736</v>
      </c>
    </row>
    <row r="24" spans="1:12">
      <c r="A24" s="33"/>
      <c r="B24" s="33"/>
      <c r="C24" s="69"/>
      <c r="D24" s="69"/>
      <c r="E24" s="69"/>
      <c r="F24" s="69"/>
      <c r="G24" s="69"/>
      <c r="H24" s="69"/>
      <c r="I24" s="69"/>
      <c r="J24" s="69"/>
      <c r="K24" s="69"/>
      <c r="L24" s="69"/>
    </row>
    <row r="25" spans="1:12">
      <c r="A25" s="33" t="s">
        <v>132</v>
      </c>
      <c r="B25" s="33"/>
      <c r="C25" s="69"/>
      <c r="D25" s="69"/>
      <c r="E25" s="69"/>
      <c r="F25" s="69"/>
      <c r="G25" s="69"/>
      <c r="H25" s="69"/>
      <c r="I25" s="69"/>
      <c r="J25" s="69"/>
      <c r="K25" s="69"/>
      <c r="L25" s="69"/>
    </row>
    <row r="26" spans="1:12">
      <c r="A26" s="33"/>
      <c r="B26" s="33" t="s">
        <v>133</v>
      </c>
      <c r="C26" s="69">
        <v>0</v>
      </c>
      <c r="D26" s="69"/>
      <c r="E26" s="69"/>
      <c r="F26" s="69">
        <v>737</v>
      </c>
      <c r="G26" s="69"/>
      <c r="H26" s="69">
        <v>0</v>
      </c>
      <c r="I26" s="69"/>
      <c r="J26" s="69">
        <f>(F26+H26)*-1</f>
        <v>-737</v>
      </c>
      <c r="K26" s="69"/>
      <c r="L26" s="69">
        <f>SUM(C26:J26)</f>
        <v>0</v>
      </c>
    </row>
    <row r="27" spans="1:12">
      <c r="A27" s="33"/>
      <c r="B27" s="104" t="s">
        <v>129</v>
      </c>
      <c r="C27" s="105">
        <v>0</v>
      </c>
      <c r="D27" s="105"/>
      <c r="E27" s="105"/>
      <c r="F27" s="105">
        <v>0</v>
      </c>
      <c r="G27" s="105"/>
      <c r="H27" s="105">
        <v>0</v>
      </c>
      <c r="I27" s="105"/>
      <c r="J27" s="105">
        <v>-13999</v>
      </c>
      <c r="K27" s="105"/>
      <c r="L27" s="105">
        <f>SUM(C27:J27)</f>
        <v>-13999</v>
      </c>
    </row>
    <row r="28" spans="1:12">
      <c r="A28" s="33"/>
      <c r="B28" s="33"/>
      <c r="C28" s="70"/>
      <c r="D28" s="70"/>
      <c r="E28" s="70"/>
      <c r="F28" s="70"/>
      <c r="G28" s="70"/>
      <c r="H28" s="70"/>
      <c r="I28" s="70"/>
      <c r="J28" s="70"/>
      <c r="K28" s="70"/>
      <c r="L28" s="70"/>
    </row>
    <row r="29" spans="1:12" ht="13">
      <c r="A29" s="49" t="s">
        <v>134</v>
      </c>
      <c r="B29" s="49"/>
      <c r="C29" s="49">
        <f>SUM(C15:C27)</f>
        <v>1016035</v>
      </c>
      <c r="D29" s="49"/>
      <c r="E29" s="49"/>
      <c r="F29" s="49">
        <f>SUM(F15:F27)</f>
        <v>15963</v>
      </c>
      <c r="G29" s="49"/>
      <c r="H29" s="49">
        <f>SUM(H15:H27)</f>
        <v>28215</v>
      </c>
      <c r="I29" s="49"/>
      <c r="J29" s="49">
        <f>SUM(J15:J27)</f>
        <v>0</v>
      </c>
      <c r="K29" s="49"/>
      <c r="L29" s="49">
        <f>SUM(L15:L27)</f>
        <v>1060213</v>
      </c>
    </row>
    <row r="30" spans="1:12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</row>
    <row r="31" spans="1:12" ht="13.5" thickBot="1">
      <c r="A31" s="82" t="s">
        <v>135</v>
      </c>
      <c r="B31" s="82"/>
      <c r="C31" s="82">
        <f>C29-C15</f>
        <v>16035</v>
      </c>
      <c r="D31" s="82"/>
      <c r="E31" s="82"/>
      <c r="F31" s="82">
        <f>F29-F15</f>
        <v>737</v>
      </c>
      <c r="G31" s="82"/>
      <c r="H31" s="82">
        <f>H29-H15</f>
        <v>-16722</v>
      </c>
      <c r="I31" s="82"/>
      <c r="J31" s="82">
        <f>J29-J15</f>
        <v>0</v>
      </c>
      <c r="K31" s="82"/>
      <c r="L31" s="82">
        <f>L29-L15</f>
        <v>50</v>
      </c>
    </row>
    <row r="32" spans="1:12">
      <c r="A32" s="33"/>
      <c r="B32" s="33"/>
      <c r="C32" s="33"/>
      <c r="D32" s="33"/>
      <c r="E32" s="33"/>
      <c r="F32" s="33">
        <v>0</v>
      </c>
      <c r="G32" s="33"/>
      <c r="H32" s="33"/>
      <c r="I32" s="33"/>
      <c r="J32" s="33"/>
      <c r="K32" s="33"/>
      <c r="L32" s="33"/>
    </row>
    <row r="33" spans="1:12" ht="13">
      <c r="A33" s="49" t="s">
        <v>136</v>
      </c>
      <c r="B33" s="49"/>
      <c r="C33" s="49">
        <v>1016035</v>
      </c>
      <c r="D33" s="49"/>
      <c r="E33" s="49"/>
      <c r="F33" s="49">
        <v>15963</v>
      </c>
      <c r="G33" s="49"/>
      <c r="H33" s="49">
        <v>28215</v>
      </c>
      <c r="I33" s="49"/>
      <c r="J33" s="49">
        <v>0</v>
      </c>
      <c r="K33" s="49"/>
      <c r="L33" s="49">
        <f>SUM(C33:J33)</f>
        <v>1060213</v>
      </c>
    </row>
    <row r="34" spans="1:1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</row>
    <row r="35" spans="1:12">
      <c r="A35" s="33" t="s">
        <v>128</v>
      </c>
      <c r="B35" s="33"/>
      <c r="C35" s="33">
        <v>25942</v>
      </c>
      <c r="D35" s="33"/>
      <c r="E35" s="33"/>
      <c r="F35" s="33">
        <v>0</v>
      </c>
      <c r="G35" s="33"/>
      <c r="H35" s="33">
        <v>0</v>
      </c>
      <c r="I35" s="33"/>
      <c r="J35" s="33">
        <v>0</v>
      </c>
      <c r="K35" s="33"/>
      <c r="L35" s="69">
        <f>SUM(C35:J35)</f>
        <v>25942</v>
      </c>
    </row>
    <row r="36" spans="1:1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69"/>
    </row>
    <row r="37" spans="1:12">
      <c r="A37" s="33" t="s">
        <v>131</v>
      </c>
      <c r="B37" s="33"/>
      <c r="C37" s="69">
        <v>0</v>
      </c>
      <c r="D37" s="69"/>
      <c r="E37" s="69"/>
      <c r="F37" s="69">
        <v>0</v>
      </c>
      <c r="G37" s="69"/>
      <c r="H37" s="69">
        <v>0</v>
      </c>
      <c r="I37" s="69"/>
      <c r="J37" s="69">
        <v>47560</v>
      </c>
      <c r="K37" s="69"/>
      <c r="L37" s="69">
        <f>SUM(C37:J37)</f>
        <v>47560</v>
      </c>
    </row>
    <row r="38" spans="1:12">
      <c r="A38" s="33"/>
      <c r="B38" s="33"/>
      <c r="C38" s="69"/>
      <c r="D38" s="69"/>
      <c r="E38" s="69"/>
      <c r="F38" s="69"/>
      <c r="G38" s="69"/>
      <c r="H38" s="69"/>
      <c r="I38" s="69"/>
      <c r="J38" s="69"/>
      <c r="K38" s="69"/>
      <c r="L38" s="69"/>
    </row>
    <row r="39" spans="1:12">
      <c r="A39" s="33" t="s">
        <v>132</v>
      </c>
      <c r="B39" s="33"/>
      <c r="C39" s="69"/>
      <c r="D39" s="69"/>
      <c r="E39" s="69"/>
      <c r="F39" s="69"/>
      <c r="G39" s="69"/>
      <c r="H39" s="69"/>
      <c r="I39" s="69"/>
      <c r="J39" s="69"/>
      <c r="K39" s="69"/>
      <c r="L39" s="69"/>
    </row>
    <row r="40" spans="1:12">
      <c r="A40" s="33"/>
      <c r="B40" s="33" t="s">
        <v>133</v>
      </c>
      <c r="C40" s="69">
        <v>0</v>
      </c>
      <c r="D40" s="69"/>
      <c r="E40" s="69"/>
      <c r="F40" s="69">
        <v>2378</v>
      </c>
      <c r="G40" s="69"/>
      <c r="H40" s="69">
        <v>20961</v>
      </c>
      <c r="I40" s="69"/>
      <c r="J40" s="69">
        <f>(F40+H40)*-1</f>
        <v>-23339</v>
      </c>
      <c r="K40" s="69"/>
      <c r="L40" s="69">
        <f>SUM(C40:J40)</f>
        <v>0</v>
      </c>
    </row>
    <row r="41" spans="1:12">
      <c r="A41" s="33"/>
      <c r="B41" s="104" t="s">
        <v>129</v>
      </c>
      <c r="C41" s="105">
        <v>0</v>
      </c>
      <c r="D41" s="105"/>
      <c r="E41" s="105"/>
      <c r="F41" s="105">
        <v>0</v>
      </c>
      <c r="G41" s="105"/>
      <c r="H41" s="105">
        <v>12925</v>
      </c>
      <c r="I41" s="105"/>
      <c r="J41" s="105">
        <v>-24221</v>
      </c>
      <c r="K41" s="105"/>
      <c r="L41" s="105">
        <f>SUM(C41:J41)</f>
        <v>-11296</v>
      </c>
    </row>
    <row r="42" spans="1:12">
      <c r="A42" s="33"/>
      <c r="B42" s="33"/>
      <c r="C42" s="70"/>
      <c r="D42" s="70"/>
      <c r="E42" s="70"/>
      <c r="F42" s="70"/>
      <c r="G42" s="70"/>
      <c r="H42" s="70"/>
      <c r="I42" s="70"/>
      <c r="J42" s="70"/>
      <c r="K42" s="70"/>
      <c r="L42" s="70"/>
    </row>
    <row r="43" spans="1:12" ht="13">
      <c r="A43" s="49" t="s">
        <v>137</v>
      </c>
      <c r="B43" s="49"/>
      <c r="C43" s="49">
        <f>SUM(C33:C41)</f>
        <v>1041977</v>
      </c>
      <c r="D43" s="49"/>
      <c r="E43" s="49"/>
      <c r="F43" s="49">
        <f>SUM(F33:F41)</f>
        <v>18341</v>
      </c>
      <c r="G43" s="49"/>
      <c r="H43" s="49">
        <f>SUM(H33:H41)</f>
        <v>62101</v>
      </c>
      <c r="I43" s="49"/>
      <c r="J43" s="49">
        <f>SUM(J33:J41)</f>
        <v>0</v>
      </c>
      <c r="K43" s="49"/>
      <c r="L43" s="49">
        <f>SUM(L33:L41)</f>
        <v>1122419</v>
      </c>
    </row>
    <row r="44" spans="1:12">
      <c r="A44" s="33"/>
      <c r="B44" s="33"/>
      <c r="C44" s="33"/>
      <c r="D44" s="33"/>
      <c r="E44" s="33"/>
      <c r="F44" s="33">
        <v>0</v>
      </c>
      <c r="G44" s="33"/>
      <c r="H44" s="33"/>
      <c r="I44" s="33"/>
      <c r="J44" s="33"/>
      <c r="K44" s="33"/>
      <c r="L44" s="33"/>
    </row>
    <row r="45" spans="1:12" ht="13.5" thickBot="1">
      <c r="A45" s="82" t="s">
        <v>135</v>
      </c>
      <c r="B45" s="82"/>
      <c r="C45" s="82">
        <f>C43-C33</f>
        <v>25942</v>
      </c>
      <c r="D45" s="82"/>
      <c r="E45" s="82"/>
      <c r="F45" s="82">
        <f>F43-F33</f>
        <v>2378</v>
      </c>
      <c r="G45" s="82"/>
      <c r="H45" s="82">
        <f>H43-H33</f>
        <v>33886</v>
      </c>
      <c r="I45" s="82"/>
      <c r="J45" s="82">
        <f>J43-J33</f>
        <v>0</v>
      </c>
      <c r="K45" s="82"/>
      <c r="L45" s="82">
        <f>L43-L33</f>
        <v>62206</v>
      </c>
    </row>
    <row r="46" spans="1:12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</row>
    <row r="47" spans="1:12" ht="13">
      <c r="A47" s="49" t="s">
        <v>138</v>
      </c>
      <c r="B47" s="49"/>
      <c r="C47" s="49">
        <v>1041977</v>
      </c>
      <c r="D47" s="49"/>
      <c r="E47" s="49"/>
      <c r="F47" s="49">
        <v>16909</v>
      </c>
      <c r="G47" s="49"/>
      <c r="H47" s="49">
        <v>41694</v>
      </c>
      <c r="I47" s="49"/>
      <c r="J47" s="49">
        <v>0</v>
      </c>
      <c r="K47" s="49"/>
      <c r="L47" s="49">
        <f>SUM(C47:J47)</f>
        <v>1100580</v>
      </c>
    </row>
    <row r="48" spans="1:12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</row>
    <row r="49" spans="1:12">
      <c r="A49" s="33" t="s">
        <v>139</v>
      </c>
      <c r="B49" s="33"/>
      <c r="C49" s="69">
        <v>0</v>
      </c>
      <c r="D49" s="69"/>
      <c r="E49" s="69"/>
      <c r="F49" s="69">
        <v>0</v>
      </c>
      <c r="G49" s="69"/>
      <c r="H49" s="69">
        <v>0</v>
      </c>
      <c r="I49" s="69"/>
      <c r="J49" s="69">
        <v>28642</v>
      </c>
      <c r="K49" s="69"/>
      <c r="L49" s="69">
        <f>SUM(C49:J49)</f>
        <v>28642</v>
      </c>
    </row>
    <row r="50" spans="1:12">
      <c r="A50" s="33"/>
      <c r="B50" s="33"/>
      <c r="C50" s="69"/>
      <c r="D50" s="69"/>
      <c r="E50" s="69"/>
      <c r="F50" s="69"/>
      <c r="G50" s="69"/>
      <c r="H50" s="69"/>
      <c r="I50" s="69"/>
      <c r="J50" s="69"/>
      <c r="K50" s="69"/>
      <c r="L50" s="69"/>
    </row>
    <row r="51" spans="1:12">
      <c r="A51" s="33" t="s">
        <v>132</v>
      </c>
      <c r="B51" s="33"/>
      <c r="C51" s="69"/>
      <c r="D51" s="69"/>
      <c r="E51" s="69"/>
      <c r="F51" s="69"/>
      <c r="G51" s="69"/>
      <c r="H51" s="69"/>
      <c r="I51" s="69"/>
      <c r="J51" s="69"/>
      <c r="K51" s="69"/>
      <c r="L51" s="69"/>
    </row>
    <row r="52" spans="1:12">
      <c r="A52" s="33"/>
      <c r="B52" s="33" t="s">
        <v>133</v>
      </c>
      <c r="C52" s="69">
        <v>0</v>
      </c>
      <c r="D52" s="69"/>
      <c r="E52" s="69"/>
      <c r="F52" s="69">
        <v>1432</v>
      </c>
      <c r="G52" s="69"/>
      <c r="H52" s="69">
        <v>14034</v>
      </c>
      <c r="I52" s="69"/>
      <c r="J52" s="69">
        <f>(F52+H52)*-1</f>
        <v>-15466</v>
      </c>
      <c r="K52" s="69"/>
      <c r="L52" s="69">
        <f>SUM(C52:J52)</f>
        <v>0</v>
      </c>
    </row>
    <row r="53" spans="1:12">
      <c r="A53" s="33"/>
      <c r="B53" s="104" t="s">
        <v>129</v>
      </c>
      <c r="C53" s="105">
        <v>0</v>
      </c>
      <c r="D53" s="105"/>
      <c r="E53" s="105"/>
      <c r="F53" s="105">
        <v>0</v>
      </c>
      <c r="G53" s="105"/>
      <c r="H53" s="105">
        <v>6373</v>
      </c>
      <c r="I53" s="105"/>
      <c r="J53" s="105">
        <v>-13176</v>
      </c>
      <c r="K53" s="105"/>
      <c r="L53" s="105">
        <f>SUM(C53:J53)</f>
        <v>-6803</v>
      </c>
    </row>
    <row r="54" spans="1:12">
      <c r="A54" s="33"/>
      <c r="B54" s="33"/>
      <c r="C54" s="70"/>
      <c r="D54" s="70"/>
      <c r="E54" s="70"/>
      <c r="F54" s="70"/>
      <c r="G54" s="70"/>
      <c r="H54" s="70"/>
      <c r="I54" s="70"/>
      <c r="J54" s="70"/>
      <c r="K54" s="70"/>
      <c r="L54" s="70"/>
    </row>
    <row r="55" spans="1:12" ht="13">
      <c r="A55" s="49" t="s">
        <v>137</v>
      </c>
      <c r="B55" s="49"/>
      <c r="C55" s="49">
        <f>SUM(C47:C53)</f>
        <v>1041977</v>
      </c>
      <c r="D55" s="49"/>
      <c r="E55" s="49"/>
      <c r="F55" s="49">
        <f>SUM(F47:F53)</f>
        <v>18341</v>
      </c>
      <c r="G55" s="49"/>
      <c r="H55" s="49">
        <f>SUM(H47:H53)</f>
        <v>62101</v>
      </c>
      <c r="I55" s="49"/>
      <c r="J55" s="49">
        <f>SUM(J47:J53)</f>
        <v>0</v>
      </c>
      <c r="K55" s="49"/>
      <c r="L55" s="49">
        <f>SUM(L47:L53)</f>
        <v>1122419</v>
      </c>
    </row>
    <row r="56" spans="1:12">
      <c r="A56" s="33"/>
      <c r="B56" s="33"/>
      <c r="C56" s="33"/>
      <c r="D56" s="33"/>
      <c r="E56" s="33"/>
      <c r="F56" s="33">
        <v>0</v>
      </c>
      <c r="G56" s="33"/>
      <c r="H56" s="33"/>
      <c r="I56" s="33"/>
      <c r="J56" s="33"/>
      <c r="K56" s="33"/>
      <c r="L56" s="33"/>
    </row>
    <row r="57" spans="1:12" ht="13.5" thickBot="1">
      <c r="A57" s="82" t="s">
        <v>135</v>
      </c>
      <c r="B57" s="82"/>
      <c r="C57" s="82">
        <f>C55-C47</f>
        <v>0</v>
      </c>
      <c r="D57" s="82"/>
      <c r="E57" s="82"/>
      <c r="F57" s="82">
        <f>F55-F47</f>
        <v>1432</v>
      </c>
      <c r="G57" s="82"/>
      <c r="H57" s="82">
        <f>H55-H47</f>
        <v>20407</v>
      </c>
      <c r="I57" s="82"/>
      <c r="J57" s="82">
        <f>J55-J47</f>
        <v>0</v>
      </c>
      <c r="K57" s="82"/>
      <c r="L57" s="82">
        <f>L55-L47</f>
        <v>21839</v>
      </c>
    </row>
    <row r="60" spans="1:12">
      <c r="A60" s="86" t="s">
        <v>90</v>
      </c>
      <c r="B60" s="106"/>
      <c r="C60" s="107"/>
      <c r="D60" s="107"/>
      <c r="E60" s="108"/>
      <c r="F60" s="107"/>
      <c r="G60" s="107"/>
      <c r="H60" s="107"/>
      <c r="I60" s="108"/>
      <c r="J60" s="107"/>
      <c r="K60" s="108"/>
      <c r="L60" s="109"/>
    </row>
  </sheetData>
  <mergeCells count="2">
    <mergeCell ref="F11:H11"/>
    <mergeCell ref="F12:F13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E0D97-9551-4143-9D63-E1C9484B3A67}">
  <dimension ref="A1:Q77"/>
  <sheetViews>
    <sheetView topLeftCell="A16" workbookViewId="0">
      <selection activeCell="K48" activeCellId="5" sqref="K26 K27 K28 K30 K46 K48"/>
    </sheetView>
  </sheetViews>
  <sheetFormatPr defaultRowHeight="14.5"/>
  <cols>
    <col min="1" max="1" width="1.81640625" style="9" customWidth="1"/>
    <col min="2" max="2" width="2.1796875" style="9" customWidth="1"/>
    <col min="3" max="3" width="53" style="9" bestFit="1" customWidth="1"/>
    <col min="4" max="4" width="5.7265625" style="9" customWidth="1"/>
    <col min="5" max="5" width="12.54296875" style="9" customWidth="1"/>
    <col min="6" max="7" width="11.7265625" style="9" customWidth="1"/>
    <col min="8" max="9" width="9.7265625" bestFit="1" customWidth="1"/>
    <col min="10" max="10" width="9.1796875" customWidth="1"/>
    <col min="11" max="11" width="12.7265625" bestFit="1" customWidth="1"/>
    <col min="12" max="12" width="27.26953125" bestFit="1" customWidth="1"/>
    <col min="13" max="13" width="13.81640625" customWidth="1"/>
  </cols>
  <sheetData>
    <row r="1" spans="1:7">
      <c r="A1" s="4" t="s">
        <v>36</v>
      </c>
      <c r="B1" s="95"/>
      <c r="C1" s="95"/>
      <c r="D1" s="95"/>
      <c r="E1" s="95"/>
      <c r="F1" s="95"/>
      <c r="G1" s="5"/>
    </row>
    <row r="2" spans="1:7" ht="14.25" customHeight="1">
      <c r="A2" s="4"/>
      <c r="B2" s="110"/>
      <c r="C2" s="110"/>
      <c r="D2" s="111"/>
      <c r="E2" s="111"/>
      <c r="F2" s="112"/>
      <c r="G2" s="113"/>
    </row>
    <row r="3" spans="1:7">
      <c r="A3" s="9" t="s">
        <v>140</v>
      </c>
      <c r="B3" s="110"/>
      <c r="C3" s="110"/>
      <c r="D3" s="111"/>
      <c r="E3" s="111"/>
      <c r="F3" s="112"/>
      <c r="G3" s="113"/>
    </row>
    <row r="4" spans="1:7">
      <c r="B4" s="110"/>
      <c r="C4" s="110"/>
      <c r="D4" s="111"/>
      <c r="E4" s="111"/>
      <c r="F4" s="112"/>
      <c r="G4" s="113"/>
    </row>
    <row r="5" spans="1:7" ht="14.25" customHeight="1">
      <c r="A5" s="14" t="s">
        <v>92</v>
      </c>
      <c r="B5" s="110"/>
      <c r="C5" s="110"/>
      <c r="D5" s="111"/>
      <c r="E5" s="111"/>
      <c r="F5" s="112"/>
    </row>
    <row r="6" spans="1:7" ht="14.25" customHeight="1">
      <c r="A6" s="14"/>
      <c r="B6" s="110"/>
      <c r="C6" s="110"/>
      <c r="D6" s="111"/>
      <c r="E6" s="111"/>
      <c r="F6" s="112"/>
      <c r="G6" s="112"/>
    </row>
    <row r="7" spans="1:7" ht="14.25" customHeight="1">
      <c r="A7" s="17" t="s">
        <v>39</v>
      </c>
      <c r="B7" s="110"/>
      <c r="C7" s="110"/>
      <c r="D7" s="111"/>
      <c r="E7" s="111"/>
      <c r="F7" s="112"/>
      <c r="G7" s="112"/>
    </row>
    <row r="8" spans="1:7" ht="14.25" customHeight="1">
      <c r="A8" s="114"/>
      <c r="B8" s="110"/>
      <c r="C8" s="110"/>
      <c r="D8" s="111"/>
      <c r="E8" s="111"/>
      <c r="F8" s="112"/>
      <c r="G8" s="112"/>
    </row>
    <row r="9" spans="1:7" ht="14.25" customHeight="1">
      <c r="A9" s="114"/>
      <c r="B9" s="110"/>
      <c r="C9" s="110"/>
      <c r="D9" s="111"/>
      <c r="E9" s="111"/>
      <c r="F9" s="112"/>
      <c r="G9" s="112"/>
    </row>
    <row r="10" spans="1:7" ht="14.25" customHeight="1">
      <c r="A10" s="114"/>
      <c r="B10" s="110"/>
      <c r="C10" s="110"/>
      <c r="D10" s="111"/>
      <c r="E10" s="111"/>
      <c r="F10" s="112"/>
      <c r="G10" s="112"/>
    </row>
    <row r="11" spans="1:7" ht="14.25" customHeight="1">
      <c r="A11" s="113"/>
      <c r="B11" s="115"/>
      <c r="C11" s="115"/>
      <c r="D11" s="116"/>
      <c r="E11" s="116"/>
      <c r="F11" s="113"/>
      <c r="G11" s="113"/>
    </row>
    <row r="12" spans="1:7" ht="14.25" customHeight="1">
      <c r="A12" s="117"/>
      <c r="B12" s="118"/>
      <c r="C12" s="118"/>
      <c r="D12" s="119"/>
      <c r="E12" s="120" t="s">
        <v>93</v>
      </c>
      <c r="F12" s="120"/>
      <c r="G12" s="120"/>
    </row>
    <row r="13" spans="1:7" ht="14.25" customHeight="1">
      <c r="A13" s="121"/>
      <c r="B13" s="122"/>
      <c r="C13" s="122"/>
      <c r="D13" s="123" t="s">
        <v>41</v>
      </c>
      <c r="E13" s="124" t="s">
        <v>94</v>
      </c>
      <c r="F13" s="124">
        <v>2019</v>
      </c>
      <c r="G13" s="124">
        <v>2018</v>
      </c>
    </row>
    <row r="14" spans="1:7" ht="14.25" customHeight="1">
      <c r="A14" s="33"/>
      <c r="B14" s="33"/>
      <c r="C14" s="33"/>
      <c r="D14" s="33"/>
      <c r="E14" s="33"/>
      <c r="F14" s="33"/>
      <c r="G14" s="104"/>
    </row>
    <row r="15" spans="1:7" ht="14.25" customHeight="1">
      <c r="A15" s="31" t="s">
        <v>141</v>
      </c>
      <c r="B15" s="31"/>
      <c r="C15" s="31"/>
      <c r="D15" s="46"/>
      <c r="E15" s="46"/>
      <c r="F15" s="46"/>
      <c r="G15" s="125"/>
    </row>
    <row r="16" spans="1:7" ht="30" customHeight="1">
      <c r="A16" s="33"/>
      <c r="B16" s="317" t="s">
        <v>142</v>
      </c>
      <c r="C16" s="317"/>
      <c r="D16" s="49"/>
      <c r="E16" s="49" t="e">
        <f>+#REF!</f>
        <v>#REF!</v>
      </c>
      <c r="F16" s="67" t="e">
        <f>+#REF!</f>
        <v>#REF!</v>
      </c>
      <c r="G16" s="126">
        <v>13527</v>
      </c>
    </row>
    <row r="17" spans="1:17" ht="14.25" customHeight="1">
      <c r="A17" s="46"/>
      <c r="B17" s="46"/>
      <c r="C17" s="46"/>
      <c r="D17" s="46"/>
      <c r="E17" s="46"/>
      <c r="F17" s="64"/>
      <c r="G17" s="127"/>
    </row>
    <row r="18" spans="1:17" ht="14.25" customHeight="1">
      <c r="A18" s="33"/>
      <c r="B18" s="49" t="s">
        <v>143</v>
      </c>
      <c r="C18" s="49"/>
      <c r="D18" s="49"/>
      <c r="E18" s="67" t="e">
        <f>SUM(E19:E23)</f>
        <v>#REF!</v>
      </c>
      <c r="F18" s="67" t="e">
        <f>SUM(F19:F23)</f>
        <v>#REF!</v>
      </c>
      <c r="G18" s="126">
        <v>64384</v>
      </c>
      <c r="I18" s="128"/>
      <c r="J18" s="128"/>
    </row>
    <row r="19" spans="1:17" ht="14.25" customHeight="1">
      <c r="A19" s="46"/>
      <c r="B19" s="46"/>
      <c r="C19" s="46" t="s">
        <v>144</v>
      </c>
      <c r="D19" s="46"/>
      <c r="E19" s="68" t="e">
        <f>-#REF!</f>
        <v>#REF!</v>
      </c>
      <c r="F19" s="68" t="e">
        <f>-#REF!</f>
        <v>#REF!</v>
      </c>
      <c r="G19" s="129">
        <v>63982</v>
      </c>
      <c r="I19" s="128"/>
      <c r="J19" s="128"/>
    </row>
    <row r="20" spans="1:17" ht="14.25" customHeight="1">
      <c r="A20" s="33"/>
      <c r="B20" s="33"/>
      <c r="C20" s="33" t="s">
        <v>145</v>
      </c>
      <c r="D20" s="33"/>
      <c r="E20" s="33">
        <v>431</v>
      </c>
      <c r="F20" s="69">
        <v>854</v>
      </c>
      <c r="G20" s="105">
        <v>858</v>
      </c>
      <c r="H20" s="33"/>
      <c r="I20" s="128"/>
      <c r="J20" s="128"/>
    </row>
    <row r="21" spans="1:17" ht="14.25" customHeight="1">
      <c r="A21" s="46"/>
      <c r="B21" s="46"/>
      <c r="C21" s="46" t="s">
        <v>146</v>
      </c>
      <c r="D21" s="46"/>
      <c r="E21" s="46" t="e">
        <f>(+#REF!-#REF!)*-1</f>
        <v>#REF!</v>
      </c>
      <c r="F21" s="68" t="e">
        <f>(+#REF!-#REF!)*-1</f>
        <v>#REF!</v>
      </c>
      <c r="G21" s="129">
        <v>-1165</v>
      </c>
      <c r="I21" s="128"/>
      <c r="J21" s="130"/>
      <c r="K21" s="131"/>
      <c r="L21" s="131"/>
      <c r="M21" s="131"/>
    </row>
    <row r="22" spans="1:17" ht="14.25" customHeight="1">
      <c r="A22" s="33"/>
      <c r="B22" s="33"/>
      <c r="C22" s="33" t="s">
        <v>147</v>
      </c>
      <c r="D22" s="33"/>
      <c r="E22" s="69">
        <v>0</v>
      </c>
      <c r="F22" s="132" t="s">
        <v>25</v>
      </c>
      <c r="G22" s="105">
        <v>-39</v>
      </c>
      <c r="I22" s="128"/>
      <c r="J22" s="128"/>
    </row>
    <row r="23" spans="1:17" ht="14.25" customHeight="1">
      <c r="A23" s="46"/>
      <c r="B23" s="46"/>
      <c r="C23" s="46" t="s">
        <v>148</v>
      </c>
      <c r="D23" s="46"/>
      <c r="E23" s="68">
        <v>101</v>
      </c>
      <c r="F23" s="68">
        <v>102</v>
      </c>
      <c r="G23" s="129">
        <v>748</v>
      </c>
    </row>
    <row r="24" spans="1:17" ht="14.25" customHeight="1">
      <c r="A24" s="33"/>
      <c r="B24" s="33"/>
      <c r="C24" s="33"/>
      <c r="D24" s="33"/>
      <c r="E24" s="33"/>
      <c r="F24" s="69"/>
      <c r="G24" s="105"/>
    </row>
    <row r="25" spans="1:17" s="131" customFormat="1" ht="14.25" customHeight="1">
      <c r="A25" s="31"/>
      <c r="B25" s="31" t="s">
        <v>149</v>
      </c>
      <c r="C25" s="31"/>
      <c r="D25" s="31"/>
      <c r="E25" s="31" t="e">
        <f>+E16+E18</f>
        <v>#REF!</v>
      </c>
      <c r="F25" s="91" t="e">
        <f>+F16+F18</f>
        <v>#REF!</v>
      </c>
      <c r="G25" s="133">
        <v>77911</v>
      </c>
      <c r="H25"/>
      <c r="I25"/>
      <c r="J25"/>
      <c r="K25"/>
      <c r="L25"/>
      <c r="M25" s="134"/>
      <c r="N25" s="134"/>
      <c r="O25" s="134"/>
      <c r="P25" s="134"/>
      <c r="Q25" s="134"/>
    </row>
    <row r="26" spans="1:17" ht="14.25" customHeight="1">
      <c r="A26" s="33"/>
      <c r="B26" s="49"/>
      <c r="C26" s="49"/>
      <c r="D26" s="49"/>
      <c r="E26" s="67"/>
      <c r="F26" s="67"/>
      <c r="G26" s="126"/>
      <c r="M26" s="135"/>
      <c r="N26" s="135"/>
      <c r="O26" s="135"/>
      <c r="P26" s="135"/>
      <c r="Q26" s="135"/>
    </row>
    <row r="27" spans="1:17" s="131" customFormat="1" ht="14.25" customHeight="1">
      <c r="A27" s="31"/>
      <c r="B27" s="31" t="s">
        <v>150</v>
      </c>
      <c r="C27" s="31"/>
      <c r="D27" s="31"/>
      <c r="E27" s="91" t="e">
        <f>+SUM(E28:E35)</f>
        <v>#REF!</v>
      </c>
      <c r="F27" s="91" t="e">
        <f>+SUM(F28:F35)</f>
        <v>#REF!</v>
      </c>
      <c r="G27" s="133">
        <v>-57793</v>
      </c>
      <c r="H27"/>
      <c r="I27"/>
      <c r="J27"/>
      <c r="K27"/>
      <c r="L27"/>
      <c r="M27" s="134" t="s">
        <v>151</v>
      </c>
      <c r="N27" s="134" t="s">
        <v>152</v>
      </c>
      <c r="O27" s="134"/>
      <c r="P27" s="134"/>
      <c r="Q27" s="134"/>
    </row>
    <row r="28" spans="1:17" ht="14.25" customHeight="1">
      <c r="A28" s="33"/>
      <c r="B28" s="33"/>
      <c r="C28" s="33" t="s">
        <v>153</v>
      </c>
      <c r="D28" s="33"/>
      <c r="E28" s="33" t="e">
        <f>+#REF!+#REF!+4-E57-(#REF!+#REF!-#REF!+4)</f>
        <v>#REF!</v>
      </c>
      <c r="F28" s="69" t="e">
        <f>+#REF!+#REF!-F57+3-(#REF!+#REF!-F58+4)</f>
        <v>#REF!</v>
      </c>
      <c r="G28" s="105">
        <v>-93584</v>
      </c>
      <c r="M28" s="135">
        <f>(383147-473892)*-1</f>
        <v>90745</v>
      </c>
      <c r="N28" s="135">
        <f>(383147-460027)*-1</f>
        <v>76880</v>
      </c>
      <c r="O28" s="135"/>
      <c r="P28" s="135"/>
      <c r="Q28" s="135"/>
    </row>
    <row r="29" spans="1:17" ht="14.25" customHeight="1">
      <c r="A29" s="46"/>
      <c r="B29" s="46"/>
      <c r="C29" s="46" t="s">
        <v>154</v>
      </c>
      <c r="D29" s="46"/>
      <c r="E29" s="46" t="e">
        <f>(+#REF!+#REF!+#REF!+#REF!-#REF!-#REF!-#REF!-#REF!+39472)*-1</f>
        <v>#REF!</v>
      </c>
      <c r="F29" s="68" t="e">
        <f>(+#REF!+#REF!+#REF!+#REF!-#REF!-#REF!-#REF!-#REF!+46087)*-1</f>
        <v>#REF!</v>
      </c>
      <c r="G29" s="129">
        <v>-138855</v>
      </c>
      <c r="M29" s="136">
        <f>3083+5071+1035-3474</f>
        <v>5715</v>
      </c>
      <c r="N29" s="135">
        <f>3906+33+101</f>
        <v>4040</v>
      </c>
      <c r="O29" s="136"/>
      <c r="P29" s="135"/>
      <c r="Q29" s="135"/>
    </row>
    <row r="30" spans="1:17" ht="14.25" customHeight="1">
      <c r="A30" s="33"/>
      <c r="B30" s="33"/>
      <c r="C30" s="33" t="s">
        <v>155</v>
      </c>
      <c r="D30" s="33"/>
      <c r="E30" s="69" t="e">
        <f>(+#REF!+#REF!+3+15-#REF!-#REF!-3-15)*-1</f>
        <v>#REF!</v>
      </c>
      <c r="F30" s="69" t="e">
        <f>(+#REF!+#REF!+#REF!+#REF!+#REF!-#REF!-#REF!-#REF!-#REF!-#REF!)*-1</f>
        <v>#REF!</v>
      </c>
      <c r="G30" s="105">
        <v>-11006</v>
      </c>
      <c r="M30" s="136">
        <f>+M28-M29</f>
        <v>85030</v>
      </c>
      <c r="N30" s="136">
        <f>+N28-N29</f>
        <v>72840</v>
      </c>
      <c r="O30" s="135"/>
      <c r="P30" s="135"/>
      <c r="Q30" s="135"/>
    </row>
    <row r="31" spans="1:17" ht="14.25" customHeight="1">
      <c r="A31" s="46"/>
      <c r="B31" s="46"/>
      <c r="C31" s="46" t="s">
        <v>156</v>
      </c>
      <c r="D31" s="46"/>
      <c r="E31" s="68" t="e">
        <f>+(#REF!-#REF!)*-1</f>
        <v>#REF!</v>
      </c>
      <c r="F31" s="68" t="e">
        <f>(+#REF!-#REF!)*-1</f>
        <v>#REF!</v>
      </c>
      <c r="G31" s="129">
        <v>-1413</v>
      </c>
      <c r="M31" s="135"/>
      <c r="N31" s="135"/>
      <c r="O31" s="135"/>
      <c r="P31" s="135"/>
      <c r="Q31" s="135"/>
    </row>
    <row r="32" spans="1:17" ht="14.25" customHeight="1">
      <c r="A32" s="33"/>
      <c r="B32" s="33"/>
      <c r="C32" s="33" t="s">
        <v>157</v>
      </c>
      <c r="D32" s="33"/>
      <c r="E32" s="33" t="e">
        <f>+#REF!-#REF!</f>
        <v>#REF!</v>
      </c>
      <c r="F32" s="69" t="e">
        <f>+#REF!-#REF!</f>
        <v>#REF!</v>
      </c>
      <c r="G32" s="105">
        <v>1</v>
      </c>
      <c r="M32" s="135"/>
      <c r="N32" s="135"/>
      <c r="O32" s="135"/>
      <c r="P32" s="135"/>
      <c r="Q32" s="135"/>
    </row>
    <row r="33" spans="1:17" ht="14.25" customHeight="1">
      <c r="A33" s="46"/>
      <c r="B33" s="46"/>
      <c r="C33" s="46" t="s">
        <v>158</v>
      </c>
      <c r="D33" s="46"/>
      <c r="E33" s="46" t="e">
        <f>+#REF!+#REF!-#REF!-#REF!</f>
        <v>#REF!</v>
      </c>
      <c r="F33" s="68" t="e">
        <f>+#REF!+#REF!-#REF!-#REF!</f>
        <v>#REF!</v>
      </c>
      <c r="G33" s="129">
        <v>112061</v>
      </c>
      <c r="M33" s="135"/>
      <c r="N33" s="135"/>
      <c r="O33" s="135"/>
      <c r="P33" s="135"/>
      <c r="Q33" s="135"/>
    </row>
    <row r="34" spans="1:17" ht="14.25" customHeight="1">
      <c r="A34" s="33"/>
      <c r="B34" s="33"/>
      <c r="C34" s="33" t="s">
        <v>159</v>
      </c>
      <c r="D34" s="33"/>
      <c r="E34" s="69">
        <v>-15373</v>
      </c>
      <c r="F34" s="69">
        <f>-8478-3</f>
        <v>-8481</v>
      </c>
      <c r="G34" s="105">
        <v>82852</v>
      </c>
      <c r="H34" s="128"/>
      <c r="I34" s="128"/>
      <c r="J34" s="128"/>
      <c r="K34" s="135"/>
      <c r="L34" s="135"/>
      <c r="M34" s="135"/>
      <c r="N34" s="135"/>
      <c r="O34" s="135"/>
      <c r="P34" s="135"/>
      <c r="Q34" s="135"/>
    </row>
    <row r="35" spans="1:17" ht="14.25" customHeight="1">
      <c r="A35" s="46"/>
      <c r="B35" s="46"/>
      <c r="C35" s="46" t="s">
        <v>160</v>
      </c>
      <c r="D35" s="46"/>
      <c r="E35" s="68">
        <v>-3857</v>
      </c>
      <c r="F35" s="68">
        <v>-7971</v>
      </c>
      <c r="G35" s="129">
        <v>-7849</v>
      </c>
      <c r="H35" s="128"/>
      <c r="I35" s="128"/>
      <c r="J35" s="128"/>
      <c r="K35" s="137"/>
      <c r="L35" s="135"/>
      <c r="M35" s="135"/>
      <c r="N35" s="135"/>
      <c r="O35" s="135"/>
      <c r="P35" s="135"/>
      <c r="Q35" s="135"/>
    </row>
    <row r="36" spans="1:17" ht="14.25" customHeight="1">
      <c r="A36" s="33"/>
      <c r="B36" s="33"/>
      <c r="C36" s="33"/>
      <c r="D36" s="33"/>
      <c r="E36" s="33"/>
      <c r="F36" s="69"/>
      <c r="G36" s="105"/>
      <c r="H36" s="128"/>
      <c r="I36" s="128"/>
      <c r="L36" s="138"/>
    </row>
    <row r="37" spans="1:17" s="131" customFormat="1" ht="14.25" customHeight="1">
      <c r="A37" s="31"/>
      <c r="B37" s="31" t="s">
        <v>161</v>
      </c>
      <c r="C37" s="31"/>
      <c r="D37" s="31"/>
      <c r="E37" s="31" t="e">
        <f>+E25+E27</f>
        <v>#REF!</v>
      </c>
      <c r="F37" s="91" t="e">
        <f>+F25+F27</f>
        <v>#REF!</v>
      </c>
      <c r="G37" s="133">
        <v>20118</v>
      </c>
      <c r="H37" s="130"/>
      <c r="I37" s="130"/>
      <c r="J37" s="130"/>
    </row>
    <row r="38" spans="1:17" ht="14.25" customHeight="1">
      <c r="A38" s="33"/>
      <c r="B38" s="49"/>
      <c r="C38" s="49"/>
      <c r="D38" s="49"/>
      <c r="E38" s="67"/>
      <c r="F38" s="67"/>
      <c r="G38" s="126"/>
      <c r="H38" s="128"/>
      <c r="I38" s="128"/>
      <c r="J38" s="128"/>
    </row>
    <row r="39" spans="1:17" s="131" customFormat="1" ht="14.25" customHeight="1">
      <c r="A39" s="31" t="s">
        <v>162</v>
      </c>
      <c r="B39" s="31"/>
      <c r="C39" s="31"/>
      <c r="D39" s="31"/>
      <c r="E39" s="91"/>
      <c r="F39" s="91"/>
      <c r="G39" s="133"/>
      <c r="H39" s="130"/>
      <c r="I39" s="130"/>
      <c r="J39" s="130"/>
    </row>
    <row r="40" spans="1:17" ht="14.25" customHeight="1">
      <c r="A40" s="33"/>
      <c r="B40" s="33"/>
      <c r="C40" s="33" t="s">
        <v>163</v>
      </c>
      <c r="D40" s="33"/>
      <c r="E40" s="33">
        <v>-88</v>
      </c>
      <c r="F40" s="69">
        <v>-167</v>
      </c>
      <c r="G40" s="105">
        <v>-30</v>
      </c>
      <c r="H40" s="128"/>
      <c r="I40" s="128"/>
      <c r="J40" s="128"/>
    </row>
    <row r="41" spans="1:17" ht="14.25" customHeight="1">
      <c r="A41" s="46"/>
      <c r="B41" s="46"/>
      <c r="C41" s="46" t="s">
        <v>164</v>
      </c>
      <c r="D41" s="46"/>
      <c r="E41" s="46">
        <v>0</v>
      </c>
      <c r="F41" s="68" t="e">
        <f>-#REF!+#REF!</f>
        <v>#REF!</v>
      </c>
      <c r="G41" s="129">
        <v>-2</v>
      </c>
      <c r="H41" s="128"/>
      <c r="I41" s="128"/>
      <c r="J41" s="128"/>
    </row>
    <row r="42" spans="1:17" ht="14.25" customHeight="1">
      <c r="A42" s="46"/>
      <c r="B42" s="46"/>
      <c r="C42" s="46" t="s">
        <v>165</v>
      </c>
      <c r="D42" s="46"/>
      <c r="E42" s="46">
        <v>2</v>
      </c>
      <c r="F42" s="68">
        <v>2</v>
      </c>
      <c r="G42" s="129">
        <v>0</v>
      </c>
      <c r="H42" s="128"/>
      <c r="I42" s="128"/>
      <c r="J42" s="128"/>
    </row>
    <row r="43" spans="1:17" ht="14.25" customHeight="1">
      <c r="A43" s="33"/>
      <c r="B43" s="49"/>
      <c r="C43" s="49"/>
      <c r="D43" s="49"/>
      <c r="E43" s="67"/>
      <c r="F43" s="67"/>
      <c r="G43" s="126"/>
      <c r="H43" s="128"/>
      <c r="I43" s="128"/>
      <c r="J43" s="128"/>
    </row>
    <row r="44" spans="1:17" s="131" customFormat="1" ht="14.25" customHeight="1">
      <c r="A44" s="31"/>
      <c r="B44" s="31" t="s">
        <v>166</v>
      </c>
      <c r="C44" s="31"/>
      <c r="D44" s="31"/>
      <c r="E44" s="91">
        <f>SUM(E40:E42)</f>
        <v>-86</v>
      </c>
      <c r="F44" s="91" t="e">
        <f>SUM(F40:F42)</f>
        <v>#REF!</v>
      </c>
      <c r="G44" s="133">
        <v>-32</v>
      </c>
      <c r="H44" s="130"/>
      <c r="I44" s="130"/>
      <c r="J44" s="130"/>
    </row>
    <row r="45" spans="1:17" ht="14.25" customHeight="1">
      <c r="A45" s="33"/>
      <c r="B45" s="33"/>
      <c r="C45" s="33"/>
      <c r="D45" s="33"/>
      <c r="E45" s="33"/>
      <c r="F45" s="69"/>
      <c r="G45" s="105"/>
      <c r="H45" s="128"/>
      <c r="I45" s="128"/>
      <c r="J45" s="128"/>
    </row>
    <row r="46" spans="1:17" s="131" customFormat="1" ht="14.25" customHeight="1">
      <c r="A46" s="31" t="s">
        <v>167</v>
      </c>
      <c r="B46" s="31"/>
      <c r="C46" s="31"/>
      <c r="D46" s="31"/>
      <c r="E46" s="31"/>
      <c r="F46" s="91"/>
      <c r="G46" s="133"/>
      <c r="H46" s="130"/>
      <c r="I46" s="130"/>
      <c r="J46" s="130"/>
    </row>
    <row r="47" spans="1:17" ht="14.25" customHeight="1">
      <c r="A47" s="33"/>
      <c r="B47" s="33" t="s">
        <v>168</v>
      </c>
      <c r="C47" s="33"/>
      <c r="D47" s="33"/>
      <c r="E47" s="139">
        <v>0</v>
      </c>
      <c r="F47" s="69">
        <v>0</v>
      </c>
      <c r="G47" s="105">
        <v>-1279</v>
      </c>
      <c r="H47" s="128"/>
      <c r="I47" s="128"/>
      <c r="J47" s="128"/>
    </row>
    <row r="48" spans="1:17" ht="14.25" customHeight="1">
      <c r="A48" s="46"/>
      <c r="B48" s="46" t="s">
        <v>169</v>
      </c>
      <c r="C48" s="46"/>
      <c r="D48" s="46"/>
      <c r="E48" s="46">
        <v>0</v>
      </c>
      <c r="F48" s="68">
        <v>-28005</v>
      </c>
      <c r="G48" s="129">
        <v>-3033</v>
      </c>
      <c r="H48" s="128"/>
      <c r="I48" s="128"/>
      <c r="J48" s="128"/>
    </row>
    <row r="49" spans="1:10" ht="14.25" customHeight="1">
      <c r="A49" s="57"/>
      <c r="B49" s="57" t="s">
        <v>170</v>
      </c>
      <c r="C49" s="57"/>
      <c r="D49" s="140">
        <v>10</v>
      </c>
      <c r="E49" s="57">
        <v>-6935</v>
      </c>
      <c r="F49" s="57">
        <v>-6935</v>
      </c>
      <c r="G49" s="141">
        <v>-1436</v>
      </c>
      <c r="H49" s="128"/>
      <c r="I49" s="128"/>
      <c r="J49" s="128"/>
    </row>
    <row r="50" spans="1:10" ht="14.25" customHeight="1">
      <c r="A50" s="57"/>
      <c r="B50" s="57" t="s">
        <v>128</v>
      </c>
      <c r="C50" s="57"/>
      <c r="D50" s="140"/>
      <c r="E50" s="142" t="s">
        <v>25</v>
      </c>
      <c r="F50" s="57">
        <v>25942</v>
      </c>
      <c r="G50" s="143" t="s">
        <v>25</v>
      </c>
      <c r="H50" s="128"/>
      <c r="I50" s="128"/>
      <c r="J50" s="128"/>
    </row>
    <row r="51" spans="1:10" ht="14.25" customHeight="1">
      <c r="A51" s="46"/>
      <c r="B51" s="46"/>
      <c r="C51" s="46"/>
      <c r="D51" s="46"/>
      <c r="E51" s="46"/>
      <c r="F51" s="64"/>
      <c r="G51" s="127"/>
      <c r="H51" s="128"/>
      <c r="I51" s="128"/>
      <c r="J51" s="128"/>
    </row>
    <row r="52" spans="1:10" ht="14.25" customHeight="1">
      <c r="A52" s="57"/>
      <c r="B52" s="140" t="s">
        <v>171</v>
      </c>
      <c r="C52" s="140"/>
      <c r="D52" s="140"/>
      <c r="E52" s="140">
        <f>+SUM(E47:E50)</f>
        <v>-6935</v>
      </c>
      <c r="F52" s="140">
        <f>+SUM(F47:F50)</f>
        <v>-8998</v>
      </c>
      <c r="G52" s="144">
        <v>-5748</v>
      </c>
      <c r="H52" s="128"/>
      <c r="I52" s="128"/>
      <c r="J52" s="128"/>
    </row>
    <row r="53" spans="1:10" ht="14.25" customHeight="1">
      <c r="A53" s="46"/>
      <c r="B53" s="46"/>
      <c r="C53" s="46"/>
      <c r="D53" s="46"/>
      <c r="E53" s="46"/>
      <c r="F53" s="64"/>
      <c r="G53" s="127"/>
      <c r="H53" s="128"/>
      <c r="I53" s="128"/>
    </row>
    <row r="54" spans="1:10" ht="14.25" customHeight="1" thickBot="1">
      <c r="A54" s="145" t="s">
        <v>172</v>
      </c>
      <c r="B54" s="145"/>
      <c r="C54" s="145"/>
      <c r="D54" s="145"/>
      <c r="E54" s="145" t="e">
        <f>SUM(E37,E44,E52)</f>
        <v>#REF!</v>
      </c>
      <c r="F54" s="146" t="e">
        <f>SUM(F37,F44,F52)</f>
        <v>#REF!</v>
      </c>
      <c r="G54" s="146">
        <v>14338</v>
      </c>
      <c r="H54" s="128"/>
      <c r="I54" s="128"/>
    </row>
    <row r="55" spans="1:10" ht="14.25" customHeight="1">
      <c r="A55" s="46"/>
      <c r="B55" s="46"/>
      <c r="C55" s="46"/>
      <c r="D55" s="46"/>
      <c r="E55" s="46"/>
      <c r="F55" s="64"/>
      <c r="G55" s="127"/>
      <c r="H55" s="128"/>
      <c r="I55" s="128"/>
    </row>
    <row r="56" spans="1:10" ht="14.25" customHeight="1">
      <c r="A56" s="140" t="s">
        <v>173</v>
      </c>
      <c r="B56" s="140"/>
      <c r="C56" s="140"/>
      <c r="D56" s="57"/>
      <c r="E56" s="57"/>
      <c r="F56" s="147"/>
      <c r="G56" s="148"/>
    </row>
    <row r="57" spans="1:10" ht="14.25" customHeight="1">
      <c r="A57" s="46"/>
      <c r="B57" s="46" t="s">
        <v>174</v>
      </c>
      <c r="C57" s="46"/>
      <c r="D57" s="46"/>
      <c r="E57" s="46">
        <v>22674</v>
      </c>
      <c r="F57" s="68">
        <v>77128</v>
      </c>
      <c r="G57" s="129">
        <v>62790</v>
      </c>
    </row>
    <row r="58" spans="1:10" ht="14.25" customHeight="1">
      <c r="A58" s="57"/>
      <c r="B58" s="57" t="s">
        <v>175</v>
      </c>
      <c r="C58" s="57"/>
      <c r="D58" s="140">
        <v>4</v>
      </c>
      <c r="E58" s="57">
        <v>18803</v>
      </c>
      <c r="F58" s="149">
        <v>18803</v>
      </c>
      <c r="G58" s="150">
        <v>77128</v>
      </c>
    </row>
    <row r="59" spans="1:10" ht="14.25" customHeight="1">
      <c r="A59" s="46"/>
      <c r="B59" s="46"/>
      <c r="C59" s="46"/>
      <c r="D59" s="46"/>
      <c r="E59" s="46"/>
      <c r="F59" s="64"/>
      <c r="G59" s="127"/>
    </row>
    <row r="60" spans="1:10" ht="14.25" customHeight="1" thickBot="1">
      <c r="A60" s="145" t="s">
        <v>172</v>
      </c>
      <c r="B60" s="145"/>
      <c r="C60" s="145"/>
      <c r="D60" s="145"/>
      <c r="E60" s="146">
        <f>+E58-E57</f>
        <v>-3871</v>
      </c>
      <c r="F60" s="146">
        <f>+F58-F57</f>
        <v>-58325</v>
      </c>
      <c r="G60" s="146">
        <v>14338</v>
      </c>
    </row>
    <row r="61" spans="1:10" ht="14.25" customHeight="1">
      <c r="A61" s="73"/>
      <c r="B61" s="73"/>
      <c r="C61" s="73"/>
      <c r="D61" s="151"/>
      <c r="E61" s="151"/>
      <c r="F61" s="152"/>
      <c r="G61" s="152"/>
    </row>
    <row r="62" spans="1:10" ht="14.25" customHeight="1">
      <c r="A62" s="73"/>
      <c r="B62" s="73"/>
      <c r="C62" s="73"/>
      <c r="D62" s="73"/>
      <c r="E62" s="152"/>
      <c r="F62" s="152"/>
      <c r="G62" s="152"/>
    </row>
    <row r="63" spans="1:10" s="155" customFormat="1" ht="14.25" customHeight="1">
      <c r="A63" s="86" t="s">
        <v>90</v>
      </c>
      <c r="B63" s="25"/>
      <c r="C63" s="25"/>
      <c r="D63" s="25"/>
      <c r="E63" s="25"/>
      <c r="F63" s="153"/>
      <c r="G63" s="154"/>
    </row>
    <row r="64" spans="1:10" ht="14.25" customHeight="1">
      <c r="A64" s="73"/>
      <c r="B64" s="73"/>
      <c r="C64" s="73"/>
      <c r="D64" s="73"/>
      <c r="E64" s="152" t="e">
        <f>+E60-E54</f>
        <v>#REF!</v>
      </c>
      <c r="F64" s="152" t="e">
        <f>+F60-F54</f>
        <v>#REF!</v>
      </c>
      <c r="G64" s="152">
        <f>+G60-G54</f>
        <v>0</v>
      </c>
    </row>
    <row r="65" spans="1:7" ht="14.25" customHeight="1">
      <c r="A65" s="73"/>
      <c r="B65" s="73"/>
      <c r="C65" s="73"/>
      <c r="D65" s="73"/>
      <c r="E65" s="73"/>
      <c r="F65" s="152"/>
      <c r="G65" s="152"/>
    </row>
    <row r="66" spans="1:7">
      <c r="A66" s="73"/>
      <c r="B66" s="73"/>
      <c r="C66" s="73"/>
      <c r="D66" s="73"/>
      <c r="E66" s="73"/>
      <c r="F66" s="152"/>
      <c r="G66" s="73"/>
    </row>
    <row r="67" spans="1:7">
      <c r="A67" s="73"/>
      <c r="B67" s="73"/>
      <c r="C67" s="73"/>
      <c r="D67" s="73"/>
      <c r="E67" s="73"/>
      <c r="F67" s="152"/>
      <c r="G67" s="73"/>
    </row>
    <row r="68" spans="1:7">
      <c r="A68" s="73"/>
      <c r="B68" s="73"/>
      <c r="C68" s="73"/>
      <c r="D68" s="73"/>
      <c r="E68" s="73"/>
      <c r="F68" s="73"/>
      <c r="G68" s="73"/>
    </row>
    <row r="69" spans="1:7">
      <c r="A69" s="73"/>
      <c r="B69" s="73"/>
      <c r="C69" s="73"/>
      <c r="D69" s="73"/>
      <c r="E69" s="73"/>
      <c r="F69" s="152"/>
      <c r="G69" s="73"/>
    </row>
    <row r="70" spans="1:7">
      <c r="A70" s="73"/>
      <c r="B70" s="73"/>
      <c r="C70" s="73"/>
      <c r="D70" s="73"/>
      <c r="E70" s="73"/>
      <c r="F70" s="152"/>
      <c r="G70" s="73"/>
    </row>
    <row r="71" spans="1:7">
      <c r="A71" s="73"/>
      <c r="B71" s="73"/>
      <c r="C71" s="73"/>
      <c r="D71" s="73"/>
      <c r="E71" s="73"/>
      <c r="F71" s="73"/>
      <c r="G71" s="73"/>
    </row>
    <row r="72" spans="1:7">
      <c r="A72" s="73"/>
      <c r="B72" s="73"/>
      <c r="C72" s="73"/>
      <c r="D72" s="73"/>
      <c r="E72" s="73"/>
      <c r="F72" s="152"/>
      <c r="G72" s="73"/>
    </row>
    <row r="73" spans="1:7">
      <c r="A73" s="73"/>
      <c r="B73" s="73"/>
      <c r="C73" s="73"/>
      <c r="D73" s="73"/>
      <c r="E73" s="73"/>
      <c r="F73" s="73"/>
      <c r="G73" s="73"/>
    </row>
    <row r="74" spans="1:7">
      <c r="A74" s="73"/>
      <c r="B74" s="73"/>
      <c r="C74" s="73"/>
      <c r="D74" s="73"/>
      <c r="E74" s="73"/>
      <c r="F74" s="73"/>
      <c r="G74" s="73"/>
    </row>
    <row r="75" spans="1:7">
      <c r="A75" s="73"/>
      <c r="B75" s="73"/>
      <c r="C75" s="73"/>
      <c r="D75" s="73"/>
      <c r="E75" s="73"/>
      <c r="F75" s="73"/>
      <c r="G75" s="73"/>
    </row>
    <row r="76" spans="1:7">
      <c r="A76" s="73"/>
      <c r="B76" s="73"/>
      <c r="C76" s="73"/>
      <c r="D76" s="73"/>
      <c r="E76" s="73"/>
      <c r="F76" s="73"/>
      <c r="G76" s="73"/>
    </row>
    <row r="77" spans="1:7">
      <c r="A77" s="73"/>
      <c r="B77" s="73"/>
      <c r="C77" s="73"/>
      <c r="D77" s="73"/>
      <c r="E77" s="73"/>
      <c r="F77" s="73"/>
      <c r="G77" s="73"/>
    </row>
  </sheetData>
  <mergeCells count="1">
    <mergeCell ref="B16:C16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_x00e7__x00e3_o xmlns="865c5fb3-b740-454d-8125-788391a65708" xsi:nil="true"/>
    <_x0032__x00aa_Revis_x00e3_o xmlns="865c5fb3-b740-454d-8125-788391a65708">Pendente</_x0032__x00aa_Revis_x00e3_o>
    <_dlc_DocId xmlns="c9f17147-27e0-4a5a-9a5c-31d8e3d13b6e">FA3Q42E7JVZW-973862176-308371</_dlc_DocId>
    <_dlc_DocIdUrl xmlns="c9f17147-27e0-4a5a-9a5c-31d8e3d13b6e">
      <Url>https://bdobrazilrcs.sharepoint.com/sites/escritorios/saopaulo/Processamento%20de%20Texto/_layouts/15/DocIdRedir.aspx?ID=FA3Q42E7JVZW-973862176-308371</Url>
      <Description>FA3Q42E7JVZW-973862176-308371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37A0BB25D6484E987503396667773E" ma:contentTypeVersion="14" ma:contentTypeDescription="Crie um novo documento." ma:contentTypeScope="" ma:versionID="cb645c37a52f4701360b464ab8913599">
  <xsd:schema xmlns:xsd="http://www.w3.org/2001/XMLSchema" xmlns:xs="http://www.w3.org/2001/XMLSchema" xmlns:p="http://schemas.microsoft.com/office/2006/metadata/properties" xmlns:ns2="c9f17147-27e0-4a5a-9a5c-31d8e3d13b6e" xmlns:ns3="865c5fb3-b740-454d-8125-788391a65708" xmlns:ns4="ae308006-5dcc-48a4-9737-5536a3520d94" targetNamespace="http://schemas.microsoft.com/office/2006/metadata/properties" ma:root="true" ma:fieldsID="36104c14408e16ce9f8c893b26408989" ns2:_="" ns3:_="" ns4:_="">
    <xsd:import namespace="c9f17147-27e0-4a5a-9a5c-31d8e3d13b6e"/>
    <xsd:import namespace="865c5fb3-b740-454d-8125-788391a65708"/>
    <xsd:import namespace="ae308006-5dcc-48a4-9737-5536a3520d9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Observa_x00e7__x00e3_o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x0032__x00aa_Revis_x00e3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17147-27e0-4a5a-9a5c-31d8e3d13b6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9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c5fb3-b740-454d-8125-788391a657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Observa_x00e7__x00e3_o" ma:index="19" nillable="true" ma:displayName="Observação" ma:description="&#10;" ma:format="Dropdown" ma:internalName="Observa_x00e7__x00e3_o">
      <xsd:simpleType>
        <xsd:restriction base="dms:Text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32__x00aa_Revis_x00e3_o" ma:index="24" nillable="true" ma:displayName="2ª Revisão" ma:default="Pendente" ma:format="Dropdown" ma:internalName="_x0032__x00aa_Revis_x00e3_o">
      <xsd:simpleType>
        <xsd:restriction base="dms:Choice">
          <xsd:enumeration value="Pendente"/>
          <xsd:enumeration value="Revisad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308006-5dcc-48a4-9737-5536a3520d9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7EA72A-24BD-48AB-9112-C09B4189BE1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65c5fb3-b740-454d-8125-788391a65708"/>
    <ds:schemaRef ds:uri="c9f17147-27e0-4a5a-9a5c-31d8e3d13b6e"/>
  </ds:schemaRefs>
</ds:datastoreItem>
</file>

<file path=customXml/itemProps2.xml><?xml version="1.0" encoding="utf-8"?>
<ds:datastoreItem xmlns:ds="http://schemas.openxmlformats.org/officeDocument/2006/customXml" ds:itemID="{2E505F1F-725C-4442-A3E2-47A2B0F9FE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B6B3C7-CB0C-4C97-B689-F899867A361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FEF5ADD-9F40-43A5-B9AB-FFA679AF73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f17147-27e0-4a5a-9a5c-31d8e3d13b6e"/>
    <ds:schemaRef ds:uri="865c5fb3-b740-454d-8125-788391a65708"/>
    <ds:schemaRef ds:uri="ae308006-5dcc-48a4-9737-5536a3520d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4</vt:i4>
      </vt:variant>
    </vt:vector>
  </HeadingPairs>
  <TitlesOfParts>
    <vt:vector size="13" baseType="lpstr">
      <vt:lpstr>Balanço</vt:lpstr>
      <vt:lpstr>DRE</vt:lpstr>
      <vt:lpstr>DRA</vt:lpstr>
      <vt:lpstr>DMPL</vt:lpstr>
      <vt:lpstr>DFC</vt:lpstr>
      <vt:lpstr>Planilha5</vt:lpstr>
      <vt:lpstr>Planilha6</vt:lpstr>
      <vt:lpstr>Planilha7</vt:lpstr>
      <vt:lpstr>Planilha8</vt:lpstr>
      <vt:lpstr>Balanço!Area_de_impressao</vt:lpstr>
      <vt:lpstr>DFC!Area_de_impressao</vt:lpstr>
      <vt:lpstr>DRA!Area_de_impressao</vt:lpstr>
      <vt:lpstr>DRE!Area_de_impressao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Kemely Mussi Mhereb</dc:creator>
  <cp:lastModifiedBy>Washington Haruo Hirata</cp:lastModifiedBy>
  <cp:lastPrinted>2020-09-28T20:27:16Z</cp:lastPrinted>
  <dcterms:created xsi:type="dcterms:W3CDTF">2020-07-09T19:41:35Z</dcterms:created>
  <dcterms:modified xsi:type="dcterms:W3CDTF">2020-09-28T21:04:49Z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0x010100D437A0BB25D6484E987503396667773E</vt:lpwstr>
  </property>
  <property fmtid="{D5CDD505-2E9C-101B-9397-08002B2CF9AE}" pid="3" name="_dlc_DocIdItemGuid">
    <vt:lpwstr>37be7ae8-70f6-44d4-ba1b-a8f71f0bf9ca</vt:lpwstr>
  </property>
</Properties>
</file>